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Z:\GE projekt - projekti\330 - 2021 DD Vič - Vloga, konkurenčni dialog DD Vič\Program izvajanja\"/>
    </mc:Choice>
  </mc:AlternateContent>
  <xr:revisionPtr revIDLastSave="0" documentId="13_ncr:1_{96E47C89-EFDD-4279-9932-BBBEC6AB10FB}" xr6:coauthVersionLast="47" xr6:coauthVersionMax="47" xr10:uidLastSave="{00000000-0000-0000-0000-000000000000}"/>
  <bookViews>
    <workbookView xWindow="-120" yWindow="-120" windowWidth="29040" windowHeight="17640" tabRatio="822" activeTab="6" xr2:uid="{00000000-000D-0000-FFFF-FFFF00000000}"/>
  </bookViews>
  <sheets>
    <sheet name="PROGRAM IZVAJANJA" sheetId="1" r:id="rId1"/>
    <sheet name="Osnovni podatki" sheetId="2" r:id="rId2"/>
    <sheet name="Navodila" sheetId="12" r:id="rId3"/>
    <sheet name="Referenčne količine" sheetId="5" r:id="rId4"/>
    <sheet name="OB01" sheetId="6" r:id="rId5"/>
    <sheet name="OB02" sheetId="14" r:id="rId6"/>
    <sheet name="Skupni zajamčeni prihranki" sheetId="7" r:id="rId7"/>
    <sheet name="Neodvisne spremenljivke" sheetId="11" r:id="rId8"/>
    <sheet name="ObračunOB01" sheetId="9" r:id="rId9"/>
    <sheet name="ObračunOB02" sheetId="15" r:id="rId10"/>
    <sheet name="Presežni prihranki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0" l="1"/>
  <c r="E72" i="6" l="1"/>
  <c r="E74" i="6" s="1"/>
  <c r="E42" i="5"/>
  <c r="D42" i="5"/>
  <c r="D19" i="5"/>
  <c r="D12" i="11"/>
  <c r="D59" i="15"/>
  <c r="D58" i="15"/>
  <c r="D57" i="15"/>
  <c r="H55" i="15"/>
  <c r="F55" i="15"/>
  <c r="H54" i="15"/>
  <c r="F54" i="15"/>
  <c r="H53" i="15"/>
  <c r="F53" i="15"/>
  <c r="D48" i="15"/>
  <c r="D47" i="15"/>
  <c r="D46" i="15"/>
  <c r="D57" i="9" l="1"/>
  <c r="E12" i="11"/>
  <c r="E8" i="11"/>
  <c r="E7" i="11"/>
  <c r="E7" i="7"/>
  <c r="E6" i="7"/>
  <c r="D104" i="14"/>
  <c r="E104" i="14" s="1"/>
  <c r="F97" i="14" s="1"/>
  <c r="E60" i="14"/>
  <c r="D37" i="14"/>
  <c r="E81" i="14" s="1"/>
  <c r="E82" i="14" s="1"/>
  <c r="D32" i="14"/>
  <c r="E73" i="14" s="1"/>
  <c r="D25" i="14"/>
  <c r="D27" i="14"/>
  <c r="D28" i="14"/>
  <c r="D97" i="14" s="1"/>
  <c r="D29" i="14"/>
  <c r="E97" i="14" s="1"/>
  <c r="D30" i="14"/>
  <c r="D24" i="14"/>
  <c r="D12" i="14"/>
  <c r="D13" i="14"/>
  <c r="D14" i="14"/>
  <c r="E64" i="14" s="1"/>
  <c r="D15" i="14"/>
  <c r="D16" i="14"/>
  <c r="D17" i="14"/>
  <c r="D18" i="14"/>
  <c r="D19" i="14"/>
  <c r="E61" i="14" s="1"/>
  <c r="D21" i="14"/>
  <c r="D22" i="14"/>
  <c r="D11" i="14"/>
  <c r="C58" i="14" s="1"/>
  <c r="C64" i="14" s="1"/>
  <c r="D9" i="14"/>
  <c r="E102" i="14"/>
  <c r="C77" i="14"/>
  <c r="C76" i="14"/>
  <c r="C74" i="14"/>
  <c r="C73" i="14"/>
  <c r="C66" i="14"/>
  <c r="C65" i="14"/>
  <c r="C63" i="14"/>
  <c r="C62" i="14"/>
  <c r="E59" i="14"/>
  <c r="E65" i="14" s="1"/>
  <c r="E58" i="14"/>
  <c r="N33" i="14"/>
  <c r="E39" i="5"/>
  <c r="D34" i="14" s="1"/>
  <c r="E38" i="5"/>
  <c r="D33" i="14" s="1"/>
  <c r="E31" i="5"/>
  <c r="E40" i="5" s="1"/>
  <c r="D35" i="14" s="1"/>
  <c r="E26" i="5"/>
  <c r="E25" i="5"/>
  <c r="D20" i="14" s="1"/>
  <c r="E19" i="5"/>
  <c r="E27" i="5" s="1"/>
  <c r="E7" i="5"/>
  <c r="D7" i="15" s="1"/>
  <c r="E6" i="5"/>
  <c r="D6" i="15" s="1"/>
  <c r="G42" i="15"/>
  <c r="D40" i="15"/>
  <c r="G21" i="15"/>
  <c r="D28" i="15"/>
  <c r="E40" i="15"/>
  <c r="D38" i="15"/>
  <c r="F40" i="15"/>
  <c r="D29" i="15"/>
  <c r="F42" i="15"/>
  <c r="F37" i="15"/>
  <c r="D37" i="15"/>
  <c r="F41" i="15"/>
  <c r="G20" i="15"/>
  <c r="H42" i="15"/>
  <c r="G18" i="15"/>
  <c r="H37" i="15"/>
  <c r="E37" i="15"/>
  <c r="D20" i="15"/>
  <c r="E42" i="15"/>
  <c r="G40" i="15"/>
  <c r="G37" i="15"/>
  <c r="G41" i="15"/>
  <c r="D41" i="15"/>
  <c r="G19" i="15"/>
  <c r="H40" i="15"/>
  <c r="E41" i="15"/>
  <c r="H41" i="15"/>
  <c r="D27" i="15"/>
  <c r="E9" i="7"/>
  <c r="D42" i="15"/>
  <c r="E21" i="7"/>
  <c r="E45" i="5" l="1"/>
  <c r="D40" i="14" s="1"/>
  <c r="D26" i="14"/>
  <c r="E44" i="5"/>
  <c r="D39" i="14" s="1"/>
  <c r="D49" i="15"/>
  <c r="D50" i="15" s="1"/>
  <c r="C12" i="15"/>
  <c r="D7" i="14"/>
  <c r="N11" i="14" s="1"/>
  <c r="D8" i="14"/>
  <c r="E66" i="14"/>
  <c r="E106" i="14"/>
  <c r="E107" i="14" s="1"/>
  <c r="E67" i="14"/>
  <c r="C61" i="14"/>
  <c r="N34" i="14"/>
  <c r="N35" i="14" s="1"/>
  <c r="E36" i="5"/>
  <c r="D31" i="14" s="1"/>
  <c r="G97" i="14" s="1"/>
  <c r="E72" i="14" s="1"/>
  <c r="D19" i="15"/>
  <c r="D43" i="15"/>
  <c r="E10" i="7"/>
  <c r="E17" i="7"/>
  <c r="E11" i="7"/>
  <c r="D21" i="15"/>
  <c r="E75" i="14" l="1"/>
  <c r="E68" i="14"/>
  <c r="E69" i="14" s="1"/>
  <c r="E74" i="14"/>
  <c r="D22" i="15"/>
  <c r="E12" i="7"/>
  <c r="D44" i="15"/>
  <c r="E14" i="7"/>
  <c r="E76" i="14" l="1"/>
  <c r="E15" i="7"/>
  <c r="D23" i="15"/>
  <c r="C11" i="15" l="1"/>
  <c r="E77" i="14"/>
  <c r="E85" i="14"/>
  <c r="C14" i="15"/>
  <c r="E19" i="7"/>
  <c r="L73" i="14" l="1"/>
  <c r="M73" i="14" s="1"/>
  <c r="L62" i="14"/>
  <c r="M62" i="14" s="1"/>
  <c r="L68" i="14"/>
  <c r="M68" i="14" s="1"/>
  <c r="L60" i="14"/>
  <c r="M60" i="14" s="1"/>
  <c r="L72" i="14"/>
  <c r="M72" i="14" s="1"/>
  <c r="L61" i="14"/>
  <c r="M61" i="14" s="1"/>
  <c r="L64" i="14"/>
  <c r="M64" i="14" s="1"/>
  <c r="L65" i="14"/>
  <c r="M65" i="14" s="1"/>
  <c r="E86" i="14"/>
  <c r="L66" i="14"/>
  <c r="M66" i="14" s="1"/>
  <c r="L59" i="14"/>
  <c r="M59" i="14" s="1"/>
  <c r="L63" i="14"/>
  <c r="M63" i="14" s="1"/>
  <c r="L70" i="14"/>
  <c r="M70" i="14" s="1"/>
  <c r="L69" i="14"/>
  <c r="M69" i="14" s="1"/>
  <c r="L67" i="14"/>
  <c r="M67" i="14" s="1"/>
  <c r="L71" i="14"/>
  <c r="M71" i="14" s="1"/>
  <c r="M74" i="14" l="1"/>
  <c r="E87" i="14" s="1"/>
  <c r="E20" i="7"/>
  <c r="E60" i="6" l="1"/>
  <c r="E66" i="6" l="1"/>
  <c r="E59" i="6"/>
  <c r="E65" i="6" l="1"/>
  <c r="D47" i="9" l="1"/>
  <c r="D48" i="9"/>
  <c r="D46" i="9"/>
  <c r="E58" i="6" l="1"/>
  <c r="D31" i="5" l="1"/>
  <c r="D36" i="5" s="1"/>
  <c r="D8" i="11" l="1"/>
  <c r="D7" i="11"/>
  <c r="G52" i="15" l="1"/>
  <c r="H28" i="15"/>
  <c r="E52" i="15"/>
  <c r="H26" i="15"/>
  <c r="H27" i="15"/>
  <c r="N33" i="6"/>
  <c r="E55" i="15" l="1"/>
  <c r="E54" i="15"/>
  <c r="E53" i="15"/>
  <c r="G54" i="15"/>
  <c r="G55" i="15"/>
  <c r="G53" i="15"/>
  <c r="N34" i="6"/>
  <c r="N35" i="6" s="1"/>
  <c r="D27" i="5"/>
  <c r="D22" i="6" s="1"/>
  <c r="D12" i="6"/>
  <c r="D7" i="7"/>
  <c r="D7" i="5"/>
  <c r="D8" i="6" s="1"/>
  <c r="D6" i="7"/>
  <c r="D37" i="6"/>
  <c r="D25" i="6"/>
  <c r="D26" i="6"/>
  <c r="D27" i="6"/>
  <c r="D28" i="6"/>
  <c r="D97" i="6" s="1"/>
  <c r="D29" i="6"/>
  <c r="E97" i="6" s="1"/>
  <c r="D30" i="6"/>
  <c r="F97" i="6" s="1"/>
  <c r="D31" i="6"/>
  <c r="G97" i="6" s="1"/>
  <c r="D32" i="6"/>
  <c r="D24" i="6"/>
  <c r="D19" i="6"/>
  <c r="E61" i="6" s="1"/>
  <c r="E67" i="6" s="1"/>
  <c r="D13" i="6"/>
  <c r="D14" i="6"/>
  <c r="E64" i="6" s="1"/>
  <c r="D15" i="6"/>
  <c r="D16" i="6"/>
  <c r="D17" i="6"/>
  <c r="D18" i="6"/>
  <c r="D11" i="6"/>
  <c r="C58" i="6" s="1"/>
  <c r="D9" i="6"/>
  <c r="D40" i="5"/>
  <c r="D39" i="5"/>
  <c r="D34" i="6" s="1"/>
  <c r="D38" i="5"/>
  <c r="D26" i="5"/>
  <c r="D21" i="6" s="1"/>
  <c r="D25" i="5"/>
  <c r="C77" i="6"/>
  <c r="C76" i="6"/>
  <c r="C65" i="6"/>
  <c r="C66" i="6"/>
  <c r="C62" i="6"/>
  <c r="C63" i="6"/>
  <c r="C74" i="6"/>
  <c r="D6" i="5"/>
  <c r="D6" i="9" s="1"/>
  <c r="D21" i="7"/>
  <c r="D19" i="9"/>
  <c r="D9" i="7"/>
  <c r="F9" i="7" l="1"/>
  <c r="D45" i="5"/>
  <c r="D53" i="15"/>
  <c r="D61" i="15" s="1"/>
  <c r="D54" i="15"/>
  <c r="D62" i="15" s="1"/>
  <c r="D55" i="15"/>
  <c r="D63" i="15" s="1"/>
  <c r="E68" i="6"/>
  <c r="E81" i="6"/>
  <c r="E82" i="6" s="1"/>
  <c r="D33" i="6"/>
  <c r="D44" i="5"/>
  <c r="D39" i="6" s="1"/>
  <c r="D40" i="6"/>
  <c r="G52" i="9"/>
  <c r="E52" i="9"/>
  <c r="D20" i="6"/>
  <c r="E73" i="6"/>
  <c r="H27" i="9"/>
  <c r="H28" i="9"/>
  <c r="D7" i="6"/>
  <c r="N11" i="6" s="1"/>
  <c r="D7" i="9"/>
  <c r="H26" i="9"/>
  <c r="D35" i="6"/>
  <c r="C64" i="6"/>
  <c r="C61" i="6"/>
  <c r="C73" i="6"/>
  <c r="D29" i="9"/>
  <c r="G18" i="9"/>
  <c r="D10" i="7"/>
  <c r="H37" i="9"/>
  <c r="F37" i="9"/>
  <c r="F40" i="9"/>
  <c r="E37" i="9"/>
  <c r="H41" i="9"/>
  <c r="G19" i="9"/>
  <c r="D42" i="9"/>
  <c r="E41" i="9"/>
  <c r="G40" i="9"/>
  <c r="G37" i="9"/>
  <c r="D40" i="9"/>
  <c r="G41" i="9"/>
  <c r="G42" i="9"/>
  <c r="D27" i="9"/>
  <c r="H42" i="9"/>
  <c r="F42" i="9"/>
  <c r="D43" i="9"/>
  <c r="D11" i="7"/>
  <c r="D17" i="7"/>
  <c r="D21" i="9"/>
  <c r="E42" i="9"/>
  <c r="G20" i="9"/>
  <c r="G21" i="9"/>
  <c r="D38" i="9"/>
  <c r="D41" i="9"/>
  <c r="D28" i="9"/>
  <c r="E40" i="9"/>
  <c r="D14" i="7"/>
  <c r="F41" i="9"/>
  <c r="H40" i="9"/>
  <c r="D37" i="9"/>
  <c r="D20" i="9"/>
  <c r="D64" i="15" l="1"/>
  <c r="D65" i="15" s="1"/>
  <c r="C10" i="15" s="1"/>
  <c r="C13" i="15" s="1"/>
  <c r="C15" i="15" s="1"/>
  <c r="F21" i="7"/>
  <c r="F17" i="7"/>
  <c r="F14" i="7"/>
  <c r="F10" i="7"/>
  <c r="F11" i="7"/>
  <c r="D49" i="9"/>
  <c r="H54" i="9"/>
  <c r="H53" i="9"/>
  <c r="H55" i="9"/>
  <c r="E69" i="6"/>
  <c r="G53" i="9"/>
  <c r="G54" i="9"/>
  <c r="G55" i="9"/>
  <c r="E55" i="9"/>
  <c r="E54" i="9"/>
  <c r="E53" i="9"/>
  <c r="F54" i="9"/>
  <c r="F53" i="9"/>
  <c r="F55" i="9"/>
  <c r="E75" i="6"/>
  <c r="D44" i="9"/>
  <c r="D12" i="7"/>
  <c r="D22" i="9"/>
  <c r="D66" i="15" l="1"/>
  <c r="D58" i="9"/>
  <c r="D53" i="9"/>
  <c r="D59" i="9"/>
  <c r="F12" i="7"/>
  <c r="D55" i="9"/>
  <c r="D63" i="9" s="1"/>
  <c r="D50" i="9"/>
  <c r="D61" i="9"/>
  <c r="D54" i="9"/>
  <c r="D62" i="9" s="1"/>
  <c r="E76" i="6"/>
  <c r="E85" i="6" s="1"/>
  <c r="D15" i="7"/>
  <c r="D23" i="9"/>
  <c r="F15" i="7" l="1"/>
  <c r="D64" i="9"/>
  <c r="D65" i="9" s="1"/>
  <c r="C10" i="9" s="1"/>
  <c r="E77" i="6"/>
  <c r="C11" i="9"/>
  <c r="C12" i="9"/>
  <c r="D6" i="10"/>
  <c r="C5" i="10"/>
  <c r="C6" i="10"/>
  <c r="D19" i="7"/>
  <c r="C14" i="9"/>
  <c r="D5" i="10"/>
  <c r="D4" i="10"/>
  <c r="F19" i="7" l="1"/>
  <c r="L72" i="6"/>
  <c r="L73" i="6"/>
  <c r="D66" i="9"/>
  <c r="C13" i="9"/>
  <c r="E86" i="6"/>
  <c r="L64" i="6"/>
  <c r="L71" i="6"/>
  <c r="L63" i="6"/>
  <c r="L70" i="6"/>
  <c r="L62" i="6"/>
  <c r="L69" i="6"/>
  <c r="L61" i="6"/>
  <c r="L68" i="6"/>
  <c r="L60" i="6"/>
  <c r="L67" i="6"/>
  <c r="L59" i="6"/>
  <c r="L66" i="6"/>
  <c r="L65" i="6"/>
  <c r="D8" i="10"/>
  <c r="C8" i="10"/>
  <c r="C4" i="10"/>
  <c r="D7" i="10"/>
  <c r="C7" i="10"/>
  <c r="E8" i="10" l="1"/>
  <c r="C17" i="10" s="1"/>
  <c r="E7" i="10"/>
  <c r="C15" i="9"/>
  <c r="M64" i="6"/>
  <c r="M60" i="6"/>
  <c r="M68" i="6"/>
  <c r="M61" i="6"/>
  <c r="M69" i="6"/>
  <c r="M65" i="6"/>
  <c r="M62" i="6"/>
  <c r="M66" i="6"/>
  <c r="M73" i="6"/>
  <c r="M70" i="6"/>
  <c r="M59" i="6"/>
  <c r="M63" i="6"/>
  <c r="M67" i="6"/>
  <c r="M71" i="6"/>
  <c r="M72" i="6"/>
  <c r="D9" i="10"/>
  <c r="C9" i="10"/>
  <c r="B18" i="10" l="1"/>
  <c r="D18" i="10" s="1"/>
  <c r="C18" i="10"/>
  <c r="E9" i="10"/>
  <c r="M74" i="6"/>
  <c r="E87" i="6" s="1"/>
  <c r="D20" i="7"/>
  <c r="E18" i="10" l="1"/>
  <c r="F18" i="10" s="1"/>
  <c r="E17" i="10"/>
  <c r="F17" i="10" s="1"/>
  <c r="B19" i="10"/>
  <c r="D19" i="10" s="1"/>
  <c r="C19" i="10"/>
  <c r="F20" i="7"/>
  <c r="E19" i="10" l="1"/>
  <c r="C20" i="10"/>
  <c r="B20" i="10"/>
  <c r="F19" i="10"/>
  <c r="D20" i="10" l="1"/>
  <c r="E20" i="10"/>
  <c r="C21" i="10"/>
  <c r="B21" i="10"/>
  <c r="D21" i="10" l="1"/>
  <c r="E21" i="10"/>
  <c r="B22" i="10"/>
  <c r="C22" i="10"/>
  <c r="F20" i="10"/>
  <c r="C23" i="10" l="1"/>
  <c r="B23" i="10"/>
  <c r="D22" i="10"/>
  <c r="E22" i="10"/>
  <c r="F21" i="10"/>
  <c r="F22" i="10" l="1"/>
  <c r="D23" i="10"/>
  <c r="E23" i="10"/>
  <c r="C24" i="10"/>
  <c r="B24" i="10"/>
  <c r="D24" i="10" l="1"/>
  <c r="E24" i="10"/>
  <c r="C25" i="10"/>
  <c r="B25" i="10"/>
  <c r="F23" i="10"/>
  <c r="F24" i="10" l="1"/>
  <c r="D25" i="10"/>
  <c r="E25" i="10"/>
  <c r="C26" i="10"/>
  <c r="B26" i="10"/>
  <c r="F25" i="10" l="1"/>
  <c r="D26" i="10"/>
  <c r="E26" i="10"/>
  <c r="B27" i="10"/>
  <c r="C27" i="10"/>
  <c r="F26" i="10" l="1"/>
  <c r="C28" i="10"/>
  <c r="B28" i="10"/>
  <c r="D27" i="10"/>
  <c r="E27" i="10"/>
  <c r="D28" i="10" l="1"/>
  <c r="E28" i="10"/>
  <c r="F27" i="10"/>
  <c r="C29" i="10"/>
  <c r="B29" i="10"/>
  <c r="D29" i="10" l="1"/>
  <c r="E29" i="10"/>
  <c r="B30" i="10"/>
  <c r="C30" i="10"/>
  <c r="F28" i="10"/>
  <c r="C31" i="10" l="1"/>
  <c r="B31" i="10"/>
  <c r="D30" i="10"/>
  <c r="E30" i="10"/>
  <c r="F29" i="10"/>
  <c r="F30" i="10" l="1"/>
  <c r="D31" i="10"/>
  <c r="E31" i="10"/>
  <c r="C32" i="10"/>
  <c r="B32" i="10"/>
  <c r="F31" i="10" l="1"/>
  <c r="D32" i="10"/>
  <c r="E32" i="10"/>
  <c r="C33" i="10"/>
  <c r="B33" i="10"/>
  <c r="D33" i="10" l="1"/>
  <c r="E33" i="10"/>
  <c r="C34" i="10"/>
  <c r="B34" i="10"/>
  <c r="F32" i="10"/>
  <c r="D34" i="10" l="1"/>
  <c r="E34" i="10"/>
  <c r="C35" i="10"/>
  <c r="B35" i="10"/>
  <c r="F33" i="10"/>
  <c r="C36" i="10" l="1"/>
  <c r="B36" i="10"/>
  <c r="D35" i="10"/>
  <c r="E35" i="10"/>
  <c r="F34" i="10"/>
  <c r="F35" i="10" l="1"/>
  <c r="D36" i="10"/>
  <c r="E36" i="10"/>
  <c r="C37" i="10"/>
  <c r="B37" i="10"/>
  <c r="D37" i="10" l="1"/>
  <c r="E37" i="10"/>
  <c r="B38" i="10"/>
  <c r="C38" i="10"/>
  <c r="B39" i="10" s="1"/>
  <c r="F36" i="10"/>
  <c r="D39" i="10" l="1"/>
  <c r="E39" i="10"/>
  <c r="D38" i="10"/>
  <c r="E38" i="10"/>
  <c r="F37" i="10"/>
  <c r="F38" i="10" l="1"/>
  <c r="F39" i="10"/>
</calcChain>
</file>

<file path=xl/sharedStrings.xml><?xml version="1.0" encoding="utf-8"?>
<sst xmlns="http://schemas.openxmlformats.org/spreadsheetml/2006/main" count="766" uniqueCount="236">
  <si>
    <t>OB10</t>
  </si>
  <si>
    <t>Tip objekta</t>
  </si>
  <si>
    <t>Naslov</t>
  </si>
  <si>
    <t>Naziv objekta</t>
  </si>
  <si>
    <t>ID</t>
  </si>
  <si>
    <t>Št.</t>
  </si>
  <si>
    <t>KO / št. stavbe</t>
  </si>
  <si>
    <t>Kontaktna oseba</t>
  </si>
  <si>
    <t>Referenčne količine</t>
  </si>
  <si>
    <t>Osnovni podatki</t>
  </si>
  <si>
    <t>Število etaž</t>
  </si>
  <si>
    <t>Leto izgradnje</t>
  </si>
  <si>
    <t>Leto obnove</t>
  </si>
  <si>
    <t>Toplota</t>
  </si>
  <si>
    <t>Energent 1</t>
  </si>
  <si>
    <t>Energent 2</t>
  </si>
  <si>
    <t>Električna energija</t>
  </si>
  <si>
    <t>/</t>
  </si>
  <si>
    <t>kWh</t>
  </si>
  <si>
    <t>Celotna kvadratura</t>
  </si>
  <si>
    <t>Ogrevana kvadratura</t>
  </si>
  <si>
    <t>Hlajena kvadratura</t>
  </si>
  <si>
    <t>Ogrevana prostornina</t>
  </si>
  <si>
    <t>EUR/MWh</t>
  </si>
  <si>
    <t>EUR</t>
  </si>
  <si>
    <t>Osnovna poraba</t>
  </si>
  <si>
    <t>Prilagoditev porabe</t>
  </si>
  <si>
    <t>Prilagojena/referenčna poraba</t>
  </si>
  <si>
    <t>Raba energenta - ogrevanje</t>
  </si>
  <si>
    <t>Raba energenta - TSV</t>
  </si>
  <si>
    <t>Raba energenta - prezračevanje</t>
  </si>
  <si>
    <t>Raba energenta - drugo</t>
  </si>
  <si>
    <t>Cena energenta</t>
  </si>
  <si>
    <t>Strošek - osnovna poraba</t>
  </si>
  <si>
    <t>Strošek - prilagoditev</t>
  </si>
  <si>
    <t>Strošek - referenčna poraba</t>
  </si>
  <si>
    <t>Raba energenta - razsvetljava</t>
  </si>
  <si>
    <t>Vzdrževanje</t>
  </si>
  <si>
    <t>Strošek tekočega in investicijskega vzdrževanja energetskih naprav</t>
  </si>
  <si>
    <t>Stroški skupaj energenti + vzdrževanje</t>
  </si>
  <si>
    <t>Osnovni stroški</t>
  </si>
  <si>
    <t>Referenčni stroški</t>
  </si>
  <si>
    <t>OB01</t>
  </si>
  <si>
    <t>OB02</t>
  </si>
  <si>
    <t>OB03</t>
  </si>
  <si>
    <t>OB04</t>
  </si>
  <si>
    <t>OB05</t>
  </si>
  <si>
    <t>OB06</t>
  </si>
  <si>
    <t>OB07</t>
  </si>
  <si>
    <t>OB08</t>
  </si>
  <si>
    <t>OB09</t>
  </si>
  <si>
    <t>Pogodbeno zagotavljanje prihrankov</t>
  </si>
  <si>
    <t>Osnovni podatki o objektu</t>
  </si>
  <si>
    <t>Referenčna raba - toplota</t>
  </si>
  <si>
    <t>Referenčna raba električna energija</t>
  </si>
  <si>
    <t>Seznam predvidenih ukrepov</t>
  </si>
  <si>
    <t>Naziv ukrepa</t>
  </si>
  <si>
    <t>Stroški predlaganih ukrepov brez DDV</t>
  </si>
  <si>
    <t>Strošek, EUR</t>
  </si>
  <si>
    <t>DDV (22 %)</t>
  </si>
  <si>
    <t>Novopričakovana letna raba in prihranki</t>
  </si>
  <si>
    <t>Novopričakovana raba - toplota</t>
  </si>
  <si>
    <t>EE za TČ</t>
  </si>
  <si>
    <t>*vpiši</t>
  </si>
  <si>
    <r>
      <t>m</t>
    </r>
    <r>
      <rPr>
        <vertAlign val="superscript"/>
        <sz val="10"/>
        <color theme="0"/>
        <rFont val="Arial"/>
        <family val="2"/>
        <charset val="238"/>
      </rPr>
      <t>2</t>
    </r>
  </si>
  <si>
    <t>Cena energenta 1</t>
  </si>
  <si>
    <t>Cena energenta 2</t>
  </si>
  <si>
    <t>Cena energenta 3</t>
  </si>
  <si>
    <t>Zajamčeni prihranek energenta 1</t>
  </si>
  <si>
    <t>Zajamčeni prihranek energenta 2</t>
  </si>
  <si>
    <t>Zajamčeni prihranek energenta 3</t>
  </si>
  <si>
    <t>Novopričakovani strošek energentov</t>
  </si>
  <si>
    <t>Zajamčeni prihranek</t>
  </si>
  <si>
    <t>%</t>
  </si>
  <si>
    <t>Novopričakovana raba</t>
  </si>
  <si>
    <t>EE</t>
  </si>
  <si>
    <t>Novopričakovana raba - električna energija</t>
  </si>
  <si>
    <t>Prihranek energenta</t>
  </si>
  <si>
    <t>Novopričakovani strošek</t>
  </si>
  <si>
    <t>Zajamčeni prihranek stroškov</t>
  </si>
  <si>
    <t>Novopričakovani strošek tekočega in investicijskega vzdrževanja energetskih naprav</t>
  </si>
  <si>
    <t>Zajamčeni prihranek stroškov tekočega in investicijskega vzdrževanja</t>
  </si>
  <si>
    <t>Izračun neto sedanje vrednosti:</t>
  </si>
  <si>
    <t>leto</t>
  </si>
  <si>
    <t>NSV</t>
  </si>
  <si>
    <t>SKUPAJ NSV:</t>
  </si>
  <si>
    <t>Prihranek</t>
  </si>
  <si>
    <t>Diskontna stopnja</t>
  </si>
  <si>
    <t>Seznam objektov</t>
  </si>
  <si>
    <t>Neto sedanja vrednost</t>
  </si>
  <si>
    <t>Obstoječe stanje</t>
  </si>
  <si>
    <t>Nazivna moč, kW</t>
  </si>
  <si>
    <t>Ure obratovanja, h</t>
  </si>
  <si>
    <t>Normirana raba energije, kWh</t>
  </si>
  <si>
    <t>Prihranek raba energije, kWh</t>
  </si>
  <si>
    <t>Prenovljeno stanje</t>
  </si>
  <si>
    <t>Skupne vrednosti</t>
  </si>
  <si>
    <t>Neto sedanja vrednost prihrankov</t>
  </si>
  <si>
    <t>Skupaj stroški ukrepov</t>
  </si>
  <si>
    <r>
      <t>m</t>
    </r>
    <r>
      <rPr>
        <vertAlign val="superscript"/>
        <sz val="10"/>
        <color theme="0"/>
        <rFont val="Arial"/>
        <family val="2"/>
        <charset val="238"/>
      </rPr>
      <t>3</t>
    </r>
  </si>
  <si>
    <t>Skupno</t>
  </si>
  <si>
    <t>Zajamčeni relatvni prihranek stroškov</t>
  </si>
  <si>
    <t>Zajamčeni relativni prihranek stroškov</t>
  </si>
  <si>
    <t>Zajamčeni letni prihranek</t>
  </si>
  <si>
    <t>Zajamčeni relativni letni prihranek</t>
  </si>
  <si>
    <t>Zajamčeni relativni prihranek stroškov tekočega in investicijskega vzdrževanja</t>
  </si>
  <si>
    <t>Vsebina</t>
  </si>
  <si>
    <t>Skupni zajamčeni prihranki</t>
  </si>
  <si>
    <t>Referenčna raba</t>
  </si>
  <si>
    <t>Skupna</t>
  </si>
  <si>
    <t>TSV</t>
  </si>
  <si>
    <t>Ogrevanje</t>
  </si>
  <si>
    <t>Prezračevanje</t>
  </si>
  <si>
    <t>Referenčna raba toplota</t>
  </si>
  <si>
    <t>Drugo</t>
  </si>
  <si>
    <t>Razdelitev rabe po porabnikih</t>
  </si>
  <si>
    <t>Energent 3</t>
  </si>
  <si>
    <t>Stroški predlaganih ukrepov z DDV</t>
  </si>
  <si>
    <t>Toplota, kWh</t>
  </si>
  <si>
    <t>EE, kWh</t>
  </si>
  <si>
    <t>Razsvetljava</t>
  </si>
  <si>
    <t>Novopričakovana raba toplota</t>
  </si>
  <si>
    <t>Dejanska raba toplota</t>
  </si>
  <si>
    <t>Faktor prilagoditve</t>
  </si>
  <si>
    <t>Prilagojena raba toplota</t>
  </si>
  <si>
    <t>Novopričakovani strošek toplote</t>
  </si>
  <si>
    <t>Prilagojeni strošek toplote</t>
  </si>
  <si>
    <t>Razlika med prilagojenim in zajamčenim prihrankom</t>
  </si>
  <si>
    <t>Cene energentov</t>
  </si>
  <si>
    <t>Referenčni strošek</t>
  </si>
  <si>
    <t>Dejanski prihranek</t>
  </si>
  <si>
    <t>Dejanski strošek toplote</t>
  </si>
  <si>
    <t>Prilagojeni prihranek</t>
  </si>
  <si>
    <t>Obračun - toplota</t>
  </si>
  <si>
    <t>Obračun - električna energija</t>
  </si>
  <si>
    <t>Obračun - vzdrževanje</t>
  </si>
  <si>
    <t>Novopričakovana normirana raba</t>
  </si>
  <si>
    <t>Novopričakovani normirani strošek</t>
  </si>
  <si>
    <t>Povzetek obračuna</t>
  </si>
  <si>
    <t>Toplota - prilagojeni prihranek</t>
  </si>
  <si>
    <t>Električna energija - normirani prihranek</t>
  </si>
  <si>
    <t>Vzdrževanje - prihranek</t>
  </si>
  <si>
    <t>Skupni prilagojeni prihranek</t>
  </si>
  <si>
    <t>Skupni zajamčeni zajamčeni prihranek</t>
  </si>
  <si>
    <t>Normirani prihranek</t>
  </si>
  <si>
    <t xml:space="preserve">Obračun </t>
  </si>
  <si>
    <t>Tabela za izračun presežnih prihrankov</t>
  </si>
  <si>
    <t>ObračunOB01</t>
  </si>
  <si>
    <t>Ustrezanje pogoju</t>
  </si>
  <si>
    <t>Za izplačilo</t>
  </si>
  <si>
    <t>DA - 1; NE - 0</t>
  </si>
  <si>
    <t xml:space="preserve">Razlika med prilagojenim in zajamčenim prihrankom </t>
  </si>
  <si>
    <t>od</t>
  </si>
  <si>
    <t>do</t>
  </si>
  <si>
    <t>stopnja</t>
  </si>
  <si>
    <t>Tabelarični podatki o nagradi za presežne prihranke</t>
  </si>
  <si>
    <t>Neodvisne spremenljivke</t>
  </si>
  <si>
    <t>Referenčni dnevni temperaturni primanjkljaj</t>
  </si>
  <si>
    <t>Kdni</t>
  </si>
  <si>
    <t>Obračunski dnevni temperaturni primankljaj</t>
  </si>
  <si>
    <t>Obračunsko leto</t>
  </si>
  <si>
    <t>Faktor TP</t>
  </si>
  <si>
    <t>*vpiši leto</t>
  </si>
  <si>
    <t>Referenčni dnevni TP</t>
  </si>
  <si>
    <t>Obračunski dnevni TP</t>
  </si>
  <si>
    <t>Faktorji prilagoditve</t>
  </si>
  <si>
    <t>Nagrada</t>
  </si>
  <si>
    <t>DO</t>
  </si>
  <si>
    <t>Raba energenta - hlajenje</t>
  </si>
  <si>
    <t>Hlajenje</t>
  </si>
  <si>
    <t>Celoten objekt</t>
  </si>
  <si>
    <t>Navodila za izpolnjevanje</t>
  </si>
  <si>
    <t>Izpolniti pri oddaji ponudbe</t>
  </si>
  <si>
    <t>Izpolniti po zaključenem obračunskem obdobju</t>
  </si>
  <si>
    <t>Zaokroževanje</t>
  </si>
  <si>
    <t>2 decimalni mesti</t>
  </si>
  <si>
    <t>1 decimalno mesto</t>
  </si>
  <si>
    <t>0 decimalnih mest</t>
  </si>
  <si>
    <t>2 decimalni mest</t>
  </si>
  <si>
    <t xml:space="preserve">Opombe: </t>
  </si>
  <si>
    <t>Vsi zneski so BREZ DDV.</t>
  </si>
  <si>
    <t>* V primeru izvedbe ukrepov, ki dvigujejo udobje, ponudnik vpiše prilagoditev rabe toplote oz. elektrike ob ustrezni utemeljitvi</t>
  </si>
  <si>
    <t xml:space="preserve">** Stroški vzdrževanja energetskih naprav vključujejo tekoče vzdrževanje, redno servisiranje, zakonske preglede ipd. </t>
  </si>
  <si>
    <t>***Stroški in cene vključujejo celoten strošek pridobitve energije, ki vključuje omrežnino, distribucijo, prispevke in trošarine (brez DDV).</t>
  </si>
  <si>
    <t xml:space="preserve">*prilagoditev rabe toplote oz elektrike </t>
  </si>
  <si>
    <t>Razlog</t>
  </si>
  <si>
    <t>*vpiši razlog</t>
  </si>
  <si>
    <t>Metodologija prilagoditve</t>
  </si>
  <si>
    <t>Izračun prilagoditve</t>
  </si>
  <si>
    <t>Navodila za izpolnjevanje, obrazložitve, opombe</t>
  </si>
  <si>
    <t>Cena, EUR/MWh</t>
  </si>
  <si>
    <t>Moč, kW</t>
  </si>
  <si>
    <t>Energija, kWh</t>
  </si>
  <si>
    <t>4 decimalna mesta</t>
  </si>
  <si>
    <t>Faktor prilagoditve, /</t>
  </si>
  <si>
    <t>Kratice</t>
  </si>
  <si>
    <t>Daljinsko ogrevanje</t>
  </si>
  <si>
    <t>ZP</t>
  </si>
  <si>
    <t>Zemeljski plin</t>
  </si>
  <si>
    <t>UNP</t>
  </si>
  <si>
    <t>Utekočinjen naftni plin</t>
  </si>
  <si>
    <t>ELKO</t>
  </si>
  <si>
    <t>Ekstra lahko kurilno olje</t>
  </si>
  <si>
    <t>PROGRAM IZVAJANJA ZA PODELITEV KONCESIJE ZA IZVEDBO PROJEKTA ENERGETSKEGA POGODBENIŠTVA</t>
  </si>
  <si>
    <t>Navodila</t>
  </si>
  <si>
    <t>Presežni prihranki</t>
  </si>
  <si>
    <t>TČ</t>
  </si>
  <si>
    <t>Toplotna črpalka</t>
  </si>
  <si>
    <t>FP</t>
  </si>
  <si>
    <t>*vpiši/priloži izračun</t>
  </si>
  <si>
    <t>TP</t>
  </si>
  <si>
    <t>Temperaturni primanjkljaj</t>
  </si>
  <si>
    <t>Rutinska prilagoditev</t>
  </si>
  <si>
    <t>*vpiše se le relavantne podatke za izračun, preostalo se vpiše pod drugo</t>
  </si>
  <si>
    <t>Skupni zajamčeni prihranek</t>
  </si>
  <si>
    <t>ENERGETSKA SANACIJA OBJEKTOV</t>
  </si>
  <si>
    <t>*v primeru spreminjanja vrednosti prilagoditve, kandidat priloži izračun in obrazložitev</t>
  </si>
  <si>
    <t>*če toplotna črpalka ni predvidena, se pusti prazno</t>
  </si>
  <si>
    <t>Normirani prihranki - razsvetljava</t>
  </si>
  <si>
    <t>OB0_</t>
  </si>
  <si>
    <t>ObračunOB0_</t>
  </si>
  <si>
    <t>Nerutinska prilagoditev</t>
  </si>
  <si>
    <t>Energent - toplota</t>
  </si>
  <si>
    <t>Obstoječi energent za toploto</t>
  </si>
  <si>
    <t>Novi energent za toploto (morebitni)</t>
  </si>
  <si>
    <t>ObračunOB02</t>
  </si>
  <si>
    <t>Dijaškega doma Vič</t>
  </si>
  <si>
    <t>DD Vič - Glavna stavba</t>
  </si>
  <si>
    <t>Gerbičeva 51a</t>
  </si>
  <si>
    <t>Dijaški dom</t>
  </si>
  <si>
    <t>DD Vič - Stara uprava</t>
  </si>
  <si>
    <t>1722/708</t>
  </si>
  <si>
    <t>1722/641</t>
  </si>
  <si>
    <t>Šola, pisarne</t>
  </si>
  <si>
    <t>*vpiši energent</t>
  </si>
  <si>
    <t>*Samodejna meteorološka postaja Bežigrad, št 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</si>
</sst>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\ &quot;€/MWh&quot;"/>
    <numFmt numFmtId="165" formatCode="#,##0.0"/>
    <numFmt numFmtId="166" formatCode="0.0%"/>
    <numFmt numFmtId="167" formatCode="#,##0.0000"/>
    <numFmt numFmtId="168" formatCode="0.0000%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8"/>
      <name val="Calibri"/>
      <family val="2"/>
      <scheme val="minor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i/>
      <sz val="10"/>
      <color theme="1"/>
      <name val="Arial"/>
      <family val="2"/>
      <charset val="238"/>
    </font>
    <font>
      <vertAlign val="superscript"/>
      <sz val="10"/>
      <color theme="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9" fontId="15" fillId="0" borderId="0" applyFont="0" applyFill="0" applyBorder="0" applyAlignment="0" applyProtection="0"/>
    <xf numFmtId="0" fontId="22" fillId="0" borderId="0" applyFill="0" applyBorder="0" applyProtection="0">
      <alignment horizontal="left"/>
    </xf>
    <xf numFmtId="0" fontId="26" fillId="0" borderId="0"/>
    <xf numFmtId="44" fontId="14" fillId="0" borderId="1" applyFont="0" applyFill="0" applyBorder="0" applyProtection="0">
      <alignment vertical="center"/>
    </xf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29" fillId="0" borderId="0" applyFont="0" applyFill="0" applyBorder="0" applyAlignment="0" applyProtection="0"/>
    <xf numFmtId="3" fontId="18" fillId="0" borderId="1" applyFill="0" applyBorder="0">
      <alignment horizontal="center" vertical="center"/>
    </xf>
    <xf numFmtId="164" fontId="14" fillId="0" borderId="1" applyFont="0" applyFill="0" applyBorder="0" applyProtection="0">
      <alignment horizontal="right" vertical="center"/>
    </xf>
    <xf numFmtId="0" fontId="21" fillId="0" borderId="0" applyFill="0" applyBorder="0" applyProtection="0">
      <alignment horizontal="left" vertical="center"/>
    </xf>
    <xf numFmtId="0" fontId="22" fillId="0" borderId="0" applyFill="0" applyBorder="0" applyProtection="0">
      <alignment horizontal="left" vertical="center"/>
    </xf>
    <xf numFmtId="0" fontId="14" fillId="0" borderId="0"/>
    <xf numFmtId="167" fontId="10" fillId="0" borderId="1" applyFill="0" applyBorder="0">
      <alignment horizontal="center" vertical="center"/>
    </xf>
    <xf numFmtId="3" fontId="2" fillId="0" borderId="1" applyFill="0" applyBorder="0">
      <alignment horizontal="center" vertical="center"/>
    </xf>
  </cellStyleXfs>
  <cellXfs count="471">
    <xf numFmtId="0" fontId="0" fillId="0" borderId="0" xfId="0"/>
    <xf numFmtId="0" fontId="18" fillId="0" borderId="0" xfId="0" applyFont="1"/>
    <xf numFmtId="0" fontId="18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vertical="center"/>
    </xf>
    <xf numFmtId="0" fontId="18" fillId="6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vertical="center"/>
    </xf>
    <xf numFmtId="0" fontId="20" fillId="5" borderId="12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18" fillId="11" borderId="15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vertical="center"/>
    </xf>
    <xf numFmtId="0" fontId="18" fillId="5" borderId="12" xfId="0" applyFont="1" applyFill="1" applyBorder="1" applyAlignment="1">
      <alignment vertical="center"/>
    </xf>
    <xf numFmtId="0" fontId="25" fillId="4" borderId="12" xfId="0" applyFont="1" applyFill="1" applyBorder="1" applyAlignment="1">
      <alignment vertical="center"/>
    </xf>
    <xf numFmtId="0" fontId="18" fillId="7" borderId="12" xfId="0" applyFont="1" applyFill="1" applyBorder="1" applyAlignment="1">
      <alignment vertical="center"/>
    </xf>
    <xf numFmtId="0" fontId="18" fillId="9" borderId="12" xfId="0" applyFont="1" applyFill="1" applyBorder="1" applyAlignment="1">
      <alignment vertical="center" wrapText="1"/>
    </xf>
    <xf numFmtId="0" fontId="18" fillId="11" borderId="12" xfId="0" applyFont="1" applyFill="1" applyBorder="1" applyAlignment="1">
      <alignment vertical="center"/>
    </xf>
    <xf numFmtId="0" fontId="18" fillId="11" borderId="14" xfId="0" applyFont="1" applyFill="1" applyBorder="1" applyAlignment="1">
      <alignment vertical="center"/>
    </xf>
    <xf numFmtId="0" fontId="23" fillId="4" borderId="7" xfId="0" applyFont="1" applyFill="1" applyBorder="1" applyAlignment="1">
      <alignment vertical="center"/>
    </xf>
    <xf numFmtId="0" fontId="18" fillId="4" borderId="8" xfId="0" applyFont="1" applyFill="1" applyBorder="1" applyAlignment="1">
      <alignment vertical="center"/>
    </xf>
    <xf numFmtId="0" fontId="18" fillId="4" borderId="9" xfId="0" applyFont="1" applyFill="1" applyBorder="1" applyAlignment="1">
      <alignment vertical="center"/>
    </xf>
    <xf numFmtId="0" fontId="20" fillId="5" borderId="6" xfId="0" applyFont="1" applyFill="1" applyBorder="1" applyAlignment="1">
      <alignment vertical="center"/>
    </xf>
    <xf numFmtId="0" fontId="20" fillId="5" borderId="13" xfId="0" applyFont="1" applyFill="1" applyBorder="1" applyAlignment="1">
      <alignment vertical="center"/>
    </xf>
    <xf numFmtId="0" fontId="20" fillId="9" borderId="10" xfId="0" applyFont="1" applyFill="1" applyBorder="1" applyAlignment="1">
      <alignment vertical="center"/>
    </xf>
    <xf numFmtId="0" fontId="20" fillId="9" borderId="6" xfId="0" applyFont="1" applyFill="1" applyBorder="1" applyAlignment="1">
      <alignment vertical="center"/>
    </xf>
    <xf numFmtId="0" fontId="20" fillId="9" borderId="13" xfId="0" applyFont="1" applyFill="1" applyBorder="1" applyAlignment="1">
      <alignment vertical="center"/>
    </xf>
    <xf numFmtId="0" fontId="20" fillId="11" borderId="10" xfId="0" applyFont="1" applyFill="1" applyBorder="1" applyAlignment="1">
      <alignment vertical="center"/>
    </xf>
    <xf numFmtId="0" fontId="20" fillId="11" borderId="6" xfId="0" applyFont="1" applyFill="1" applyBorder="1" applyAlignment="1">
      <alignment vertical="center"/>
    </xf>
    <xf numFmtId="0" fontId="20" fillId="11" borderId="13" xfId="0" applyFont="1" applyFill="1" applyBorder="1" applyAlignment="1">
      <alignment vertical="center"/>
    </xf>
    <xf numFmtId="0" fontId="20" fillId="5" borderId="22" xfId="0" applyFont="1" applyFill="1" applyBorder="1" applyAlignment="1">
      <alignment vertical="center"/>
    </xf>
    <xf numFmtId="0" fontId="18" fillId="6" borderId="12" xfId="0" applyFont="1" applyFill="1" applyBorder="1" applyAlignment="1">
      <alignment vertical="center"/>
    </xf>
    <xf numFmtId="0" fontId="20" fillId="7" borderId="22" xfId="0" applyFont="1" applyFill="1" applyBorder="1" applyAlignment="1">
      <alignment vertical="center"/>
    </xf>
    <xf numFmtId="0" fontId="18" fillId="8" borderId="12" xfId="0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20" fillId="7" borderId="24" xfId="0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/>
    </xf>
    <xf numFmtId="0" fontId="20" fillId="12" borderId="15" xfId="0" applyFont="1" applyFill="1" applyBorder="1" applyAlignment="1">
      <alignment horizontal="center" vertical="center"/>
    </xf>
    <xf numFmtId="44" fontId="34" fillId="0" borderId="1" xfId="4" applyFont="1" applyBorder="1" applyProtection="1">
      <alignment vertical="center"/>
      <protection hidden="1"/>
    </xf>
    <xf numFmtId="44" fontId="34" fillId="0" borderId="11" xfId="4" applyFont="1" applyBorder="1" applyProtection="1">
      <alignment vertical="center"/>
      <protection hidden="1"/>
    </xf>
    <xf numFmtId="0" fontId="33" fillId="14" borderId="12" xfId="3" applyFont="1" applyFill="1" applyBorder="1" applyAlignment="1" applyProtection="1">
      <alignment horizontal="center" vertical="center"/>
      <protection hidden="1"/>
    </xf>
    <xf numFmtId="0" fontId="33" fillId="14" borderId="1" xfId="3" applyFont="1" applyFill="1" applyBorder="1" applyAlignment="1" applyProtection="1">
      <alignment horizontal="center" vertical="center"/>
      <protection hidden="1"/>
    </xf>
    <xf numFmtId="0" fontId="33" fillId="14" borderId="11" xfId="3" applyFont="1" applyFill="1" applyBorder="1" applyAlignment="1" applyProtection="1">
      <alignment horizontal="center" vertical="center"/>
      <protection hidden="1"/>
    </xf>
    <xf numFmtId="0" fontId="26" fillId="0" borderId="12" xfId="3" applyFont="1" applyBorder="1" applyAlignment="1" applyProtection="1">
      <alignment horizontal="center" vertical="center"/>
      <protection hidden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9" fontId="18" fillId="0" borderId="16" xfId="1" applyFont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3" fontId="18" fillId="0" borderId="11" xfId="8" applyFill="1" applyBorder="1">
      <alignment horizontal="center" vertical="center"/>
    </xf>
    <xf numFmtId="164" fontId="18" fillId="0" borderId="11" xfId="9" applyFont="1" applyFill="1" applyBorder="1">
      <alignment horizontal="right" vertical="center"/>
    </xf>
    <xf numFmtId="44" fontId="18" fillId="0" borderId="11" xfId="4" applyFont="1" applyFill="1" applyBorder="1">
      <alignment vertical="center"/>
    </xf>
    <xf numFmtId="44" fontId="18" fillId="0" borderId="16" xfId="4" applyFont="1" applyFill="1" applyBorder="1">
      <alignment vertical="center"/>
    </xf>
    <xf numFmtId="3" fontId="18" fillId="0" borderId="11" xfId="8" applyBorder="1">
      <alignment horizontal="center" vertical="center"/>
    </xf>
    <xf numFmtId="164" fontId="18" fillId="0" borderId="11" xfId="9" applyFont="1" applyBorder="1">
      <alignment horizontal="right" vertical="center"/>
    </xf>
    <xf numFmtId="44" fontId="18" fillId="0" borderId="11" xfId="4" applyFont="1" applyBorder="1">
      <alignment vertical="center"/>
    </xf>
    <xf numFmtId="44" fontId="20" fillId="0" borderId="16" xfId="4" applyFont="1" applyBorder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165" fontId="36" fillId="0" borderId="1" xfId="0" applyNumberFormat="1" applyFont="1" applyBorder="1" applyAlignment="1">
      <alignment horizontal="center" vertical="center"/>
    </xf>
    <xf numFmtId="3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18" fillId="15" borderId="0" xfId="0" applyFont="1" applyFill="1"/>
    <xf numFmtId="0" fontId="22" fillId="15" borderId="0" xfId="2" applyFill="1">
      <alignment horizontal="left"/>
    </xf>
    <xf numFmtId="0" fontId="21" fillId="15" borderId="0" xfId="0" applyFont="1" applyFill="1" applyAlignment="1">
      <alignment horizontal="left"/>
    </xf>
    <xf numFmtId="0" fontId="0" fillId="15" borderId="0" xfId="0" applyFill="1"/>
    <xf numFmtId="0" fontId="18" fillId="15" borderId="0" xfId="0" applyFont="1" applyFill="1" applyAlignment="1">
      <alignment vertical="center"/>
    </xf>
    <xf numFmtId="0" fontId="22" fillId="15" borderId="0" xfId="11" applyFill="1">
      <alignment horizontal="left" vertical="center"/>
    </xf>
    <xf numFmtId="0" fontId="18" fillId="15" borderId="0" xfId="0" applyFont="1" applyFill="1" applyBorder="1" applyAlignment="1">
      <alignment vertical="center"/>
    </xf>
    <xf numFmtId="0" fontId="20" fillId="15" borderId="0" xfId="0" applyFont="1" applyFill="1" applyBorder="1" applyAlignment="1">
      <alignment vertical="center"/>
    </xf>
    <xf numFmtId="0" fontId="21" fillId="15" borderId="0" xfId="10" applyFill="1">
      <alignment horizontal="left" vertical="center"/>
    </xf>
    <xf numFmtId="0" fontId="27" fillId="15" borderId="0" xfId="3" applyFont="1" applyFill="1" applyProtection="1">
      <protection hidden="1"/>
    </xf>
    <xf numFmtId="0" fontId="25" fillId="4" borderId="5" xfId="0" applyFont="1" applyFill="1" applyBorder="1" applyAlignment="1">
      <alignment vertical="center"/>
    </xf>
    <xf numFmtId="0" fontId="23" fillId="2" borderId="22" xfId="0" applyFont="1" applyFill="1" applyBorder="1" applyAlignment="1">
      <alignment horizontal="left" vertical="center"/>
    </xf>
    <xf numFmtId="0" fontId="23" fillId="2" borderId="23" xfId="0" applyFont="1" applyFill="1" applyBorder="1" applyAlignment="1">
      <alignment horizontal="left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vertical="center"/>
    </xf>
    <xf numFmtId="0" fontId="23" fillId="4" borderId="9" xfId="0" applyFont="1" applyFill="1" applyBorder="1" applyAlignment="1">
      <alignment vertical="center"/>
    </xf>
    <xf numFmtId="0" fontId="25" fillId="4" borderId="10" xfId="0" applyFont="1" applyFill="1" applyBorder="1" applyAlignment="1">
      <alignment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 wrapText="1"/>
    </xf>
    <xf numFmtId="3" fontId="18" fillId="3" borderId="11" xfId="8" applyFill="1" applyBorder="1">
      <alignment horizontal="center" vertical="center"/>
    </xf>
    <xf numFmtId="3" fontId="18" fillId="6" borderId="1" xfId="8" applyFill="1" applyBorder="1">
      <alignment horizontal="center" vertical="center"/>
    </xf>
    <xf numFmtId="3" fontId="18" fillId="6" borderId="11" xfId="8" applyFill="1" applyBorder="1">
      <alignment horizontal="center" vertical="center"/>
    </xf>
    <xf numFmtId="164" fontId="18" fillId="6" borderId="11" xfId="9" applyFont="1" applyFill="1" applyBorder="1">
      <alignment horizontal="right" vertical="center"/>
    </xf>
    <xf numFmtId="44" fontId="18" fillId="6" borderId="11" xfId="4" applyFont="1" applyFill="1" applyBorder="1" applyAlignment="1">
      <alignment horizontal="center" vertical="center"/>
    </xf>
    <xf numFmtId="3" fontId="18" fillId="8" borderId="11" xfId="8" applyFill="1" applyBorder="1">
      <alignment horizontal="center" vertical="center"/>
    </xf>
    <xf numFmtId="164" fontId="18" fillId="8" borderId="11" xfId="9" applyFont="1" applyFill="1" applyBorder="1">
      <alignment horizontal="right" vertical="center"/>
    </xf>
    <xf numFmtId="44" fontId="18" fillId="8" borderId="11" xfId="4" applyFont="1" applyFill="1" applyBorder="1" applyAlignment="1">
      <alignment horizontal="center" vertical="center"/>
    </xf>
    <xf numFmtId="44" fontId="18" fillId="12" borderId="11" xfId="4" applyFont="1" applyFill="1" applyBorder="1" applyAlignment="1">
      <alignment horizontal="center" vertical="center"/>
    </xf>
    <xf numFmtId="44" fontId="18" fillId="12" borderId="16" xfId="4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vertical="center"/>
    </xf>
    <xf numFmtId="0" fontId="25" fillId="4" borderId="21" xfId="0" applyFont="1" applyFill="1" applyBorder="1" applyAlignment="1">
      <alignment vertical="center"/>
    </xf>
    <xf numFmtId="0" fontId="18" fillId="5" borderId="14" xfId="0" applyFont="1" applyFill="1" applyBorder="1" applyAlignment="1">
      <alignment vertical="center"/>
    </xf>
    <xf numFmtId="0" fontId="18" fillId="5" borderId="15" xfId="0" applyFont="1" applyFill="1" applyBorder="1" applyAlignment="1">
      <alignment horizontal="center" vertical="center"/>
    </xf>
    <xf numFmtId="44" fontId="18" fillId="6" borderId="16" xfId="4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vertical="center"/>
    </xf>
    <xf numFmtId="0" fontId="18" fillId="7" borderId="15" xfId="0" applyFont="1" applyFill="1" applyBorder="1" applyAlignment="1">
      <alignment horizontal="center" vertical="center"/>
    </xf>
    <xf numFmtId="44" fontId="18" fillId="8" borderId="16" xfId="4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vertical="center"/>
    </xf>
    <xf numFmtId="0" fontId="20" fillId="9" borderId="23" xfId="0" applyFont="1" applyFill="1" applyBorder="1" applyAlignment="1">
      <alignment vertical="center"/>
    </xf>
    <xf numFmtId="0" fontId="20" fillId="9" borderId="24" xfId="0" applyFont="1" applyFill="1" applyBorder="1" applyAlignment="1">
      <alignment vertical="center"/>
    </xf>
    <xf numFmtId="0" fontId="18" fillId="9" borderId="14" xfId="0" applyFont="1" applyFill="1" applyBorder="1" applyAlignment="1">
      <alignment vertical="center" wrapText="1"/>
    </xf>
    <xf numFmtId="0" fontId="18" fillId="9" borderId="15" xfId="0" applyFont="1" applyFill="1" applyBorder="1" applyAlignment="1">
      <alignment horizontal="center" vertical="center"/>
    </xf>
    <xf numFmtId="44" fontId="18" fillId="10" borderId="16" xfId="4" applyFont="1" applyFill="1" applyBorder="1" applyAlignment="1">
      <alignment horizontal="center" vertical="center"/>
    </xf>
    <xf numFmtId="0" fontId="20" fillId="11" borderId="22" xfId="0" applyFont="1" applyFill="1" applyBorder="1" applyAlignment="1">
      <alignment vertical="center"/>
    </xf>
    <xf numFmtId="0" fontId="20" fillId="11" borderId="23" xfId="0" applyFont="1" applyFill="1" applyBorder="1" applyAlignment="1">
      <alignment vertical="center"/>
    </xf>
    <xf numFmtId="0" fontId="20" fillId="11" borderId="24" xfId="0" applyFont="1" applyFill="1" applyBorder="1" applyAlignment="1">
      <alignment vertical="center"/>
    </xf>
    <xf numFmtId="0" fontId="20" fillId="3" borderId="24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44" fontId="18" fillId="10" borderId="11" xfId="4" applyFont="1" applyFill="1" applyBorder="1">
      <alignment vertical="center"/>
    </xf>
    <xf numFmtId="44" fontId="18" fillId="0" borderId="16" xfId="4" applyFont="1" applyBorder="1">
      <alignment vertical="center"/>
    </xf>
    <xf numFmtId="0" fontId="35" fillId="3" borderId="22" xfId="0" applyFont="1" applyFill="1" applyBorder="1" applyAlignment="1">
      <alignment horizontal="center" vertical="center"/>
    </xf>
    <xf numFmtId="0" fontId="36" fillId="0" borderId="23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/>
    </xf>
    <xf numFmtId="3" fontId="36" fillId="0" borderId="11" xfId="0" applyNumberFormat="1" applyFont="1" applyBorder="1" applyAlignment="1">
      <alignment horizontal="center" vertical="center"/>
    </xf>
    <xf numFmtId="0" fontId="35" fillId="3" borderId="12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3" borderId="14" xfId="0" applyFont="1" applyFill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44" fontId="33" fillId="14" borderId="16" xfId="4" applyFont="1" applyFill="1" applyBorder="1" applyProtection="1">
      <alignment vertical="center"/>
      <protection hidden="1"/>
    </xf>
    <xf numFmtId="0" fontId="23" fillId="4" borderId="22" xfId="0" applyFont="1" applyFill="1" applyBorder="1" applyAlignment="1">
      <alignment vertical="center"/>
    </xf>
    <xf numFmtId="0" fontId="23" fillId="4" borderId="23" xfId="0" applyFont="1" applyFill="1" applyBorder="1" applyAlignment="1">
      <alignment vertical="center"/>
    </xf>
    <xf numFmtId="0" fontId="18" fillId="9" borderId="12" xfId="0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3" fillId="4" borderId="15" xfId="0" applyFont="1" applyFill="1" applyBorder="1" applyAlignment="1">
      <alignment vertical="center"/>
    </xf>
    <xf numFmtId="0" fontId="18" fillId="11" borderId="22" xfId="0" applyFont="1" applyFill="1" applyBorder="1" applyAlignment="1">
      <alignment vertical="center"/>
    </xf>
    <xf numFmtId="0" fontId="25" fillId="4" borderId="14" xfId="0" applyFont="1" applyFill="1" applyBorder="1" applyAlignment="1">
      <alignment vertical="center"/>
    </xf>
    <xf numFmtId="0" fontId="18" fillId="5" borderId="14" xfId="0" applyFont="1" applyFill="1" applyBorder="1" applyAlignment="1">
      <alignment horizontal="left" vertical="center"/>
    </xf>
    <xf numFmtId="0" fontId="18" fillId="5" borderId="23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18" fillId="7" borderId="23" xfId="0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18" fillId="9" borderId="23" xfId="0" applyFont="1" applyFill="1" applyBorder="1" applyAlignment="1">
      <alignment horizontal="center" vertical="center"/>
    </xf>
    <xf numFmtId="0" fontId="18" fillId="11" borderId="2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/>
    </xf>
    <xf numFmtId="0" fontId="18" fillId="7" borderId="28" xfId="0" applyFont="1" applyFill="1" applyBorder="1" applyAlignment="1">
      <alignment horizontal="center" vertical="center"/>
    </xf>
    <xf numFmtId="0" fontId="18" fillId="9" borderId="28" xfId="0" applyFont="1" applyFill="1" applyBorder="1" applyAlignment="1">
      <alignment horizontal="center" vertical="center"/>
    </xf>
    <xf numFmtId="0" fontId="18" fillId="11" borderId="28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/>
    </xf>
    <xf numFmtId="0" fontId="18" fillId="11" borderId="3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vertical="center"/>
    </xf>
    <xf numFmtId="0" fontId="18" fillId="6" borderId="5" xfId="0" applyFont="1" applyFill="1" applyBorder="1" applyAlignment="1">
      <alignment vertical="center"/>
    </xf>
    <xf numFmtId="0" fontId="18" fillId="6" borderId="20" xfId="0" applyFont="1" applyFill="1" applyBorder="1" applyAlignment="1">
      <alignment vertical="center"/>
    </xf>
    <xf numFmtId="0" fontId="18" fillId="6" borderId="21" xfId="0" applyFont="1" applyFill="1" applyBorder="1" applyAlignment="1">
      <alignment vertical="center"/>
    </xf>
    <xf numFmtId="44" fontId="18" fillId="12" borderId="4" xfId="4" applyFont="1" applyFill="1" applyBorder="1">
      <alignment vertical="center"/>
    </xf>
    <xf numFmtId="44" fontId="18" fillId="12" borderId="29" xfId="4" applyFont="1" applyFill="1" applyBorder="1">
      <alignment vertical="center"/>
    </xf>
    <xf numFmtId="0" fontId="20" fillId="12" borderId="12" xfId="0" applyFont="1" applyFill="1" applyBorder="1" applyAlignment="1">
      <alignment horizontal="left" vertical="center"/>
    </xf>
    <xf numFmtId="0" fontId="20" fillId="12" borderId="1" xfId="0" applyFont="1" applyFill="1" applyBorder="1" applyAlignment="1">
      <alignment horizontal="left" vertical="center"/>
    </xf>
    <xf numFmtId="0" fontId="20" fillId="12" borderId="14" xfId="0" applyFont="1" applyFill="1" applyBorder="1" applyAlignment="1">
      <alignment horizontal="left" vertical="center"/>
    </xf>
    <xf numFmtId="0" fontId="20" fillId="12" borderId="15" xfId="0" applyFont="1" applyFill="1" applyBorder="1" applyAlignment="1">
      <alignment horizontal="left" vertical="center"/>
    </xf>
    <xf numFmtId="0" fontId="20" fillId="12" borderId="1" xfId="0" applyFont="1" applyFill="1" applyBorder="1" applyAlignment="1">
      <alignment vertical="center"/>
    </xf>
    <xf numFmtId="0" fontId="20" fillId="12" borderId="12" xfId="0" applyFont="1" applyFill="1" applyBorder="1" applyAlignment="1">
      <alignment vertical="center"/>
    </xf>
    <xf numFmtId="44" fontId="20" fillId="0" borderId="11" xfId="4" applyFont="1" applyBorder="1">
      <alignment vertical="center"/>
    </xf>
    <xf numFmtId="9" fontId="18" fillId="0" borderId="16" xfId="5" applyFont="1" applyBorder="1" applyAlignment="1">
      <alignment horizontal="center" vertical="center"/>
    </xf>
    <xf numFmtId="0" fontId="18" fillId="16" borderId="1" xfId="0" applyFont="1" applyFill="1" applyBorder="1" applyAlignment="1">
      <alignment horizontal="center" vertical="center"/>
    </xf>
    <xf numFmtId="44" fontId="20" fillId="6" borderId="1" xfId="4" applyFont="1" applyFill="1" applyBorder="1">
      <alignment vertical="center"/>
    </xf>
    <xf numFmtId="0" fontId="18" fillId="16" borderId="11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18" fillId="16" borderId="15" xfId="0" applyFont="1" applyFill="1" applyBorder="1" applyAlignment="1">
      <alignment horizontal="center" vertical="center"/>
    </xf>
    <xf numFmtId="0" fontId="18" fillId="16" borderId="16" xfId="0" applyFont="1" applyFill="1" applyBorder="1" applyAlignment="1">
      <alignment horizontal="center" vertical="center"/>
    </xf>
    <xf numFmtId="0" fontId="20" fillId="5" borderId="36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vertical="center"/>
    </xf>
    <xf numFmtId="0" fontId="20" fillId="5" borderId="8" xfId="0" applyFont="1" applyFill="1" applyBorder="1" applyAlignment="1">
      <alignment vertical="center"/>
    </xf>
    <xf numFmtId="0" fontId="20" fillId="5" borderId="9" xfId="0" applyFont="1" applyFill="1" applyBorder="1" applyAlignment="1">
      <alignment vertical="center"/>
    </xf>
    <xf numFmtId="0" fontId="20" fillId="5" borderId="14" xfId="0" applyFont="1" applyFill="1" applyBorder="1" applyAlignment="1">
      <alignment vertical="center"/>
    </xf>
    <xf numFmtId="44" fontId="20" fillId="6" borderId="15" xfId="4" applyFont="1" applyFill="1" applyBorder="1">
      <alignment vertical="center"/>
    </xf>
    <xf numFmtId="0" fontId="20" fillId="5" borderId="37" xfId="0" applyFont="1" applyFill="1" applyBorder="1" applyAlignment="1">
      <alignment vertical="center" wrapText="1"/>
    </xf>
    <xf numFmtId="44" fontId="20" fillId="6" borderId="36" xfId="4" applyFont="1" applyFill="1" applyBorder="1" applyAlignment="1">
      <alignment horizontal="center" vertical="center"/>
    </xf>
    <xf numFmtId="0" fontId="18" fillId="16" borderId="36" xfId="0" applyFont="1" applyFill="1" applyBorder="1" applyAlignment="1">
      <alignment horizontal="center" vertical="center"/>
    </xf>
    <xf numFmtId="0" fontId="18" fillId="16" borderId="19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left" vertical="center"/>
    </xf>
    <xf numFmtId="0" fontId="20" fillId="7" borderId="25" xfId="0" applyFont="1" applyFill="1" applyBorder="1" applyAlignment="1">
      <alignment horizontal="left" vertical="center"/>
    </xf>
    <xf numFmtId="0" fontId="20" fillId="7" borderId="14" xfId="0" applyFont="1" applyFill="1" applyBorder="1" applyAlignment="1">
      <alignment vertical="center"/>
    </xf>
    <xf numFmtId="0" fontId="20" fillId="7" borderId="15" xfId="0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horizontal="left" vertical="center"/>
    </xf>
    <xf numFmtId="0" fontId="20" fillId="9" borderId="25" xfId="0" applyFont="1" applyFill="1" applyBorder="1" applyAlignment="1">
      <alignment horizontal="left" vertical="center"/>
    </xf>
    <xf numFmtId="0" fontId="20" fillId="9" borderId="24" xfId="0" applyFont="1" applyFill="1" applyBorder="1" applyAlignment="1">
      <alignment horizontal="center" vertical="center"/>
    </xf>
    <xf numFmtId="44" fontId="18" fillId="8" borderId="11" xfId="4" applyFont="1" applyFill="1" applyBorder="1">
      <alignment vertical="center"/>
    </xf>
    <xf numFmtId="44" fontId="20" fillId="8" borderId="16" xfId="4" applyFont="1" applyFill="1" applyBorder="1">
      <alignment vertical="center"/>
    </xf>
    <xf numFmtId="0" fontId="20" fillId="9" borderId="14" xfId="0" applyFont="1" applyFill="1" applyBorder="1" applyAlignment="1">
      <alignment vertical="center"/>
    </xf>
    <xf numFmtId="0" fontId="20" fillId="9" borderId="15" xfId="0" applyFont="1" applyFill="1" applyBorder="1" applyAlignment="1">
      <alignment horizontal="center" vertical="center"/>
    </xf>
    <xf numFmtId="44" fontId="20" fillId="10" borderId="16" xfId="4" applyFont="1" applyFill="1" applyBorder="1">
      <alignment vertical="center"/>
    </xf>
    <xf numFmtId="44" fontId="18" fillId="12" borderId="24" xfId="4" applyFont="1" applyFill="1" applyBorder="1">
      <alignment vertical="center"/>
    </xf>
    <xf numFmtId="44" fontId="18" fillId="12" borderId="11" xfId="4" applyFont="1" applyFill="1" applyBorder="1">
      <alignment vertical="center"/>
    </xf>
    <xf numFmtId="44" fontId="20" fillId="12" borderId="16" xfId="4" applyFont="1" applyFill="1" applyBorder="1">
      <alignment vertical="center"/>
    </xf>
    <xf numFmtId="0" fontId="18" fillId="0" borderId="22" xfId="0" applyFont="1" applyBorder="1" applyAlignment="1">
      <alignment vertical="center"/>
    </xf>
    <xf numFmtId="164" fontId="18" fillId="0" borderId="24" xfId="9" applyFont="1" applyBorder="1" applyAlignment="1">
      <alignment horizontal="center" vertical="center"/>
    </xf>
    <xf numFmtId="164" fontId="18" fillId="0" borderId="11" xfId="9" applyFont="1" applyBorder="1" applyAlignment="1">
      <alignment horizontal="center" vertical="center"/>
    </xf>
    <xf numFmtId="164" fontId="18" fillId="0" borderId="16" xfId="9" applyFont="1" applyBorder="1" applyAlignment="1">
      <alignment horizontal="center" vertical="center"/>
    </xf>
    <xf numFmtId="0" fontId="20" fillId="11" borderId="14" xfId="0" applyFont="1" applyFill="1" applyBorder="1" applyAlignment="1">
      <alignment vertical="center" wrapText="1"/>
    </xf>
    <xf numFmtId="0" fontId="21" fillId="15" borderId="0" xfId="10" applyFill="1" applyBorder="1">
      <alignment horizontal="left" vertical="center"/>
    </xf>
    <xf numFmtId="0" fontId="18" fillId="15" borderId="0" xfId="0" applyFont="1" applyFill="1" applyBorder="1" applyAlignment="1">
      <alignment horizontal="center" vertical="center"/>
    </xf>
    <xf numFmtId="0" fontId="18" fillId="15" borderId="0" xfId="0" applyFont="1" applyFill="1" applyAlignment="1"/>
    <xf numFmtId="0" fontId="26" fillId="11" borderId="22" xfId="0" applyFont="1" applyFill="1" applyBorder="1" applyAlignment="1">
      <alignment vertical="center"/>
    </xf>
    <xf numFmtId="0" fontId="20" fillId="3" borderId="10" xfId="0" applyFont="1" applyFill="1" applyBorder="1" applyAlignment="1">
      <alignment horizontal="left" vertical="center"/>
    </xf>
    <xf numFmtId="0" fontId="20" fillId="3" borderId="6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center"/>
    </xf>
    <xf numFmtId="0" fontId="20" fillId="3" borderId="20" xfId="0" applyFont="1" applyFill="1" applyBorder="1" applyAlignment="1">
      <alignment horizontal="left" vertical="center"/>
    </xf>
    <xf numFmtId="0" fontId="20" fillId="3" borderId="35" xfId="0" applyFont="1" applyFill="1" applyBorder="1" applyAlignment="1">
      <alignment horizontal="left" vertical="center"/>
    </xf>
    <xf numFmtId="0" fontId="20" fillId="3" borderId="21" xfId="0" applyFont="1" applyFill="1" applyBorder="1" applyAlignment="1">
      <alignment horizontal="left" vertical="center"/>
    </xf>
    <xf numFmtId="0" fontId="17" fillId="15" borderId="0" xfId="0" applyFont="1" applyFill="1" applyAlignment="1">
      <alignment horizontal="center" vertical="center"/>
    </xf>
    <xf numFmtId="0" fontId="17" fillId="15" borderId="0" xfId="0" applyFont="1" applyFill="1"/>
    <xf numFmtId="0" fontId="25" fillId="15" borderId="0" xfId="0" applyFont="1" applyFill="1"/>
    <xf numFmtId="0" fontId="18" fillId="15" borderId="0" xfId="0" applyFont="1" applyFill="1" applyAlignment="1">
      <alignment horizontal="center" vertical="center"/>
    </xf>
    <xf numFmtId="3" fontId="18" fillId="8" borderId="15" xfId="8" applyFill="1" applyBorder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26" fillId="7" borderId="12" xfId="0" applyFont="1" applyFill="1" applyBorder="1" applyAlignment="1">
      <alignment vertical="center" wrapText="1"/>
    </xf>
    <xf numFmtId="0" fontId="25" fillId="4" borderId="39" xfId="0" applyFont="1" applyFill="1" applyBorder="1" applyAlignment="1">
      <alignment vertical="center"/>
    </xf>
    <xf numFmtId="0" fontId="25" fillId="4" borderId="3" xfId="0" applyFont="1" applyFill="1" applyBorder="1" applyAlignment="1">
      <alignment vertical="center"/>
    </xf>
    <xf numFmtId="0" fontId="13" fillId="3" borderId="40" xfId="0" applyFont="1" applyFill="1" applyBorder="1" applyAlignment="1">
      <alignment horizontal="center" vertical="center" wrapText="1"/>
    </xf>
    <xf numFmtId="0" fontId="13" fillId="15" borderId="0" xfId="0" applyFont="1" applyFill="1"/>
    <xf numFmtId="0" fontId="13" fillId="7" borderId="14" xfId="0" applyFont="1" applyFill="1" applyBorder="1" applyAlignment="1">
      <alignment vertical="center"/>
    </xf>
    <xf numFmtId="0" fontId="20" fillId="11" borderId="23" xfId="0" applyFont="1" applyFill="1" applyBorder="1" applyAlignment="1">
      <alignment horizontal="center" vertical="center"/>
    </xf>
    <xf numFmtId="0" fontId="20" fillId="17" borderId="22" xfId="0" applyFont="1" applyFill="1" applyBorder="1" applyAlignment="1">
      <alignment vertical="center"/>
    </xf>
    <xf numFmtId="0" fontId="20" fillId="17" borderId="23" xfId="0" applyFont="1" applyFill="1" applyBorder="1" applyAlignment="1">
      <alignment vertical="center"/>
    </xf>
    <xf numFmtId="0" fontId="20" fillId="17" borderId="24" xfId="0" applyFont="1" applyFill="1" applyBorder="1" applyAlignment="1">
      <alignment vertical="center"/>
    </xf>
    <xf numFmtId="0" fontId="20" fillId="18" borderId="37" xfId="0" applyFont="1" applyFill="1" applyBorder="1"/>
    <xf numFmtId="0" fontId="37" fillId="18" borderId="19" xfId="0" applyFont="1" applyFill="1" applyBorder="1"/>
    <xf numFmtId="3" fontId="18" fillId="15" borderId="1" xfId="8" applyFill="1" applyBorder="1">
      <alignment horizontal="center" vertical="center"/>
    </xf>
    <xf numFmtId="0" fontId="20" fillId="11" borderId="30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2" fillId="5" borderId="10" xfId="0" applyFont="1" applyFill="1" applyBorder="1" applyAlignment="1">
      <alignment vertical="center"/>
    </xf>
    <xf numFmtId="0" fontId="18" fillId="5" borderId="41" xfId="0" applyFont="1" applyFill="1" applyBorder="1" applyAlignment="1">
      <alignment vertical="center"/>
    </xf>
    <xf numFmtId="0" fontId="18" fillId="5" borderId="38" xfId="0" applyFont="1" applyFill="1" applyBorder="1" applyAlignment="1">
      <alignment horizontal="center" vertical="center"/>
    </xf>
    <xf numFmtId="0" fontId="20" fillId="7" borderId="42" xfId="0" applyFont="1" applyFill="1" applyBorder="1" applyAlignment="1">
      <alignment vertical="center"/>
    </xf>
    <xf numFmtId="0" fontId="20" fillId="7" borderId="43" xfId="0" applyFont="1" applyFill="1" applyBorder="1" applyAlignment="1">
      <alignment vertical="center"/>
    </xf>
    <xf numFmtId="0" fontId="18" fillId="5" borderId="25" xfId="0" applyFont="1" applyFill="1" applyBorder="1" applyAlignment="1">
      <alignment vertical="center"/>
    </xf>
    <xf numFmtId="0" fontId="20" fillId="5" borderId="44" xfId="0" applyFont="1" applyFill="1" applyBorder="1" applyAlignment="1">
      <alignment vertical="center"/>
    </xf>
    <xf numFmtId="0" fontId="20" fillId="5" borderId="45" xfId="0" applyFont="1" applyFill="1" applyBorder="1" applyAlignment="1">
      <alignment vertical="center"/>
    </xf>
    <xf numFmtId="0" fontId="12" fillId="5" borderId="7" xfId="0" applyFont="1" applyFill="1" applyBorder="1" applyAlignment="1">
      <alignment vertical="center"/>
    </xf>
    <xf numFmtId="44" fontId="18" fillId="0" borderId="40" xfId="4" applyFont="1" applyFill="1" applyBorder="1">
      <alignment vertical="center"/>
    </xf>
    <xf numFmtId="3" fontId="18" fillId="6" borderId="4" xfId="8" applyFill="1" applyBorder="1">
      <alignment horizontal="center" vertical="center"/>
    </xf>
    <xf numFmtId="3" fontId="18" fillId="8" borderId="4" xfId="8" applyFill="1" applyBorder="1">
      <alignment horizontal="center" vertical="center"/>
    </xf>
    <xf numFmtId="44" fontId="18" fillId="10" borderId="29" xfId="4" applyFont="1" applyFill="1" applyBorder="1">
      <alignment vertical="center"/>
    </xf>
    <xf numFmtId="0" fontId="23" fillId="4" borderId="46" xfId="0" applyFont="1" applyFill="1" applyBorder="1" applyAlignment="1">
      <alignment vertical="center"/>
    </xf>
    <xf numFmtId="0" fontId="18" fillId="3" borderId="16" xfId="0" applyFont="1" applyFill="1" applyBorder="1" applyAlignment="1">
      <alignment horizontal="center" vertical="center"/>
    </xf>
    <xf numFmtId="0" fontId="20" fillId="5" borderId="47" xfId="0" applyFont="1" applyFill="1" applyBorder="1" applyAlignment="1">
      <alignment vertical="center"/>
    </xf>
    <xf numFmtId="0" fontId="20" fillId="7" borderId="48" xfId="0" applyFont="1" applyFill="1" applyBorder="1" applyAlignment="1">
      <alignment vertical="center"/>
    </xf>
    <xf numFmtId="0" fontId="21" fillId="15" borderId="0" xfId="10" applyFill="1">
      <alignment horizontal="left" vertical="center"/>
    </xf>
    <xf numFmtId="0" fontId="0" fillId="15" borderId="0" xfId="0" applyFill="1"/>
    <xf numFmtId="0" fontId="33" fillId="14" borderId="20" xfId="3" applyFont="1" applyFill="1" applyBorder="1" applyAlignment="1" applyProtection="1">
      <alignment horizontal="center" vertical="center"/>
      <protection hidden="1"/>
    </xf>
    <xf numFmtId="0" fontId="33" fillId="14" borderId="21" xfId="3" applyFont="1" applyFill="1" applyBorder="1" applyAlignment="1" applyProtection="1">
      <alignment horizontal="center" vertical="center"/>
      <protection hidden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0" fillId="11" borderId="22" xfId="0" applyFont="1" applyFill="1" applyBorder="1" applyAlignment="1">
      <alignment horizontal="left" vertical="center"/>
    </xf>
    <xf numFmtId="0" fontId="20" fillId="11" borderId="23" xfId="0" applyFont="1" applyFill="1" applyBorder="1" applyAlignment="1">
      <alignment horizontal="left" vertical="center"/>
    </xf>
    <xf numFmtId="0" fontId="20" fillId="11" borderId="24" xfId="0" applyFont="1" applyFill="1" applyBorder="1" applyAlignment="1">
      <alignment horizontal="left" vertical="center"/>
    </xf>
    <xf numFmtId="0" fontId="32" fillId="14" borderId="22" xfId="3" applyFont="1" applyFill="1" applyBorder="1" applyAlignment="1" applyProtection="1">
      <alignment horizontal="left" vertical="center"/>
      <protection hidden="1"/>
    </xf>
    <xf numFmtId="0" fontId="32" fillId="14" borderId="23" xfId="3" applyFont="1" applyFill="1" applyBorder="1" applyAlignment="1" applyProtection="1">
      <alignment horizontal="left" vertical="center"/>
      <protection hidden="1"/>
    </xf>
    <xf numFmtId="0" fontId="32" fillId="14" borderId="24" xfId="3" applyFont="1" applyFill="1" applyBorder="1" applyAlignment="1" applyProtection="1">
      <alignment horizontal="left" vertical="center"/>
      <protection hidden="1"/>
    </xf>
    <xf numFmtId="0" fontId="20" fillId="5" borderId="7" xfId="0" applyFont="1" applyFill="1" applyBorder="1" applyAlignment="1">
      <alignment horizontal="lef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9" xfId="0" applyFont="1" applyFill="1" applyBorder="1" applyAlignment="1">
      <alignment horizontal="left" vertical="center"/>
    </xf>
    <xf numFmtId="0" fontId="20" fillId="7" borderId="7" xfId="0" applyFont="1" applyFill="1" applyBorder="1" applyAlignment="1">
      <alignment horizontal="left" vertical="center"/>
    </xf>
    <xf numFmtId="0" fontId="20" fillId="7" borderId="8" xfId="0" applyFont="1" applyFill="1" applyBorder="1" applyAlignment="1">
      <alignment horizontal="left" vertical="center"/>
    </xf>
    <xf numFmtId="0" fontId="20" fillId="7" borderId="9" xfId="0" applyFont="1" applyFill="1" applyBorder="1" applyAlignment="1">
      <alignment horizontal="left" vertical="center"/>
    </xf>
    <xf numFmtId="0" fontId="20" fillId="9" borderId="7" xfId="0" applyFont="1" applyFill="1" applyBorder="1" applyAlignment="1">
      <alignment horizontal="left" vertical="center"/>
    </xf>
    <xf numFmtId="0" fontId="20" fillId="9" borderId="8" xfId="0" applyFont="1" applyFill="1" applyBorder="1" applyAlignment="1">
      <alignment horizontal="left" vertical="center"/>
    </xf>
    <xf numFmtId="0" fontId="20" fillId="9" borderId="9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center" vertical="center" wrapText="1"/>
    </xf>
    <xf numFmtId="3" fontId="28" fillId="0" borderId="32" xfId="3" applyNumberFormat="1" applyFont="1" applyBorder="1" applyAlignment="1" applyProtection="1">
      <alignment horizontal="center" vertical="center"/>
      <protection hidden="1"/>
    </xf>
    <xf numFmtId="0" fontId="10" fillId="7" borderId="12" xfId="0" applyFont="1" applyFill="1" applyBorder="1" applyAlignment="1">
      <alignment vertical="center"/>
    </xf>
    <xf numFmtId="0" fontId="10" fillId="7" borderId="23" xfId="0" applyFont="1" applyFill="1" applyBorder="1" applyAlignment="1">
      <alignment horizontal="center" vertical="center"/>
    </xf>
    <xf numFmtId="0" fontId="10" fillId="15" borderId="0" xfId="0" applyFont="1" applyFill="1" applyAlignment="1">
      <alignment vertical="center"/>
    </xf>
    <xf numFmtId="3" fontId="10" fillId="8" borderId="11" xfId="8" applyFont="1" applyFill="1" applyBorder="1">
      <alignment horizontal="center" vertical="center"/>
    </xf>
    <xf numFmtId="9" fontId="20" fillId="0" borderId="11" xfId="5" applyFont="1" applyBorder="1" applyAlignment="1">
      <alignment horizontal="center" vertical="center"/>
    </xf>
    <xf numFmtId="167" fontId="10" fillId="6" borderId="1" xfId="13" applyFill="1" applyBorder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167" fontId="20" fillId="15" borderId="1" xfId="13" applyFont="1" applyFill="1" applyBorder="1">
      <alignment horizontal="center" vertical="center"/>
    </xf>
    <xf numFmtId="167" fontId="20" fillId="8" borderId="16" xfId="13" applyFont="1" applyFill="1" applyBorder="1">
      <alignment horizontal="center" vertical="center"/>
    </xf>
    <xf numFmtId="0" fontId="16" fillId="15" borderId="0" xfId="0" applyFont="1" applyFill="1" applyAlignment="1">
      <alignment horizontal="center" vertical="center"/>
    </xf>
    <xf numFmtId="0" fontId="10" fillId="0" borderId="0" xfId="0" applyFont="1" applyFill="1"/>
    <xf numFmtId="0" fontId="22" fillId="15" borderId="0" xfId="11" applyFill="1" applyAlignment="1">
      <alignment horizontal="left" vertical="center"/>
    </xf>
    <xf numFmtId="0" fontId="10" fillId="15" borderId="22" xfId="0" applyFont="1" applyFill="1" applyBorder="1" applyAlignment="1">
      <alignment vertical="center"/>
    </xf>
    <xf numFmtId="0" fontId="10" fillId="15" borderId="24" xfId="0" applyFont="1" applyFill="1" applyBorder="1" applyAlignment="1">
      <alignment vertical="center"/>
    </xf>
    <xf numFmtId="0" fontId="10" fillId="19" borderId="12" xfId="0" applyFont="1" applyFill="1" applyBorder="1" applyAlignment="1">
      <alignment vertical="center"/>
    </xf>
    <xf numFmtId="0" fontId="10" fillId="15" borderId="11" xfId="0" applyFont="1" applyFill="1" applyBorder="1" applyAlignment="1">
      <alignment vertical="center"/>
    </xf>
    <xf numFmtId="0" fontId="10" fillId="20" borderId="14" xfId="0" applyFont="1" applyFill="1" applyBorder="1" applyAlignment="1">
      <alignment vertical="center"/>
    </xf>
    <xf numFmtId="0" fontId="10" fillId="15" borderId="16" xfId="0" applyFont="1" applyFill="1" applyBorder="1" applyAlignment="1">
      <alignment vertical="center"/>
    </xf>
    <xf numFmtId="0" fontId="10" fillId="15" borderId="12" xfId="0" applyFont="1" applyFill="1" applyBorder="1" applyAlignment="1">
      <alignment vertical="center"/>
    </xf>
    <xf numFmtId="0" fontId="10" fillId="15" borderId="14" xfId="0" applyFont="1" applyFill="1" applyBorder="1" applyAlignment="1">
      <alignment vertical="center"/>
    </xf>
    <xf numFmtId="0" fontId="10" fillId="15" borderId="0" xfId="0" applyFont="1" applyFill="1" applyBorder="1" applyAlignment="1">
      <alignment vertical="center"/>
    </xf>
    <xf numFmtId="0" fontId="10" fillId="15" borderId="41" xfId="0" applyFont="1" applyFill="1" applyBorder="1" applyAlignment="1">
      <alignment vertical="center"/>
    </xf>
    <xf numFmtId="0" fontId="10" fillId="15" borderId="40" xfId="0" applyFont="1" applyFill="1" applyBorder="1" applyAlignment="1">
      <alignment vertical="center"/>
    </xf>
    <xf numFmtId="0" fontId="10" fillId="15" borderId="0" xfId="0" quotePrefix="1" applyFont="1" applyFill="1" applyAlignment="1">
      <alignment vertical="center"/>
    </xf>
    <xf numFmtId="0" fontId="38" fillId="15" borderId="0" xfId="0" applyFont="1" applyFill="1" applyAlignment="1">
      <alignment vertical="center"/>
    </xf>
    <xf numFmtId="0" fontId="9" fillId="9" borderId="15" xfId="0" applyFont="1" applyFill="1" applyBorder="1" applyAlignment="1">
      <alignment horizontal="center" vertical="center" wrapText="1"/>
    </xf>
    <xf numFmtId="3" fontId="18" fillId="8" borderId="16" xfId="8" applyFill="1" applyBorder="1">
      <alignment horizontal="center" vertical="center"/>
    </xf>
    <xf numFmtId="0" fontId="8" fillId="15" borderId="0" xfId="0" applyFont="1" applyFill="1"/>
    <xf numFmtId="0" fontId="30" fillId="19" borderId="0" xfId="0" applyFont="1" applyFill="1" applyAlignment="1" applyProtection="1">
      <alignment vertical="center"/>
      <protection locked="0"/>
    </xf>
    <xf numFmtId="44" fontId="18" fillId="10" borderId="11" xfId="4" applyFont="1" applyFill="1" applyBorder="1" applyProtection="1">
      <alignment vertical="center"/>
      <protection locked="0"/>
    </xf>
    <xf numFmtId="44" fontId="18" fillId="19" borderId="11" xfId="4" applyFont="1" applyFill="1" applyBorder="1" applyProtection="1">
      <alignment vertical="center"/>
      <protection locked="0"/>
    </xf>
    <xf numFmtId="165" fontId="36" fillId="19" borderId="1" xfId="0" applyNumberFormat="1" applyFont="1" applyFill="1" applyBorder="1" applyAlignment="1" applyProtection="1">
      <alignment horizontal="center" vertical="center"/>
      <protection locked="0"/>
    </xf>
    <xf numFmtId="3" fontId="18" fillId="20" borderId="11" xfId="8" applyFill="1" applyBorder="1" applyProtection="1">
      <alignment horizontal="center" vertical="center"/>
      <protection locked="0"/>
    </xf>
    <xf numFmtId="3" fontId="18" fillId="20" borderId="1" xfId="8" applyFill="1" applyBorder="1" applyProtection="1">
      <alignment horizontal="center" vertical="center"/>
      <protection locked="0"/>
    </xf>
    <xf numFmtId="0" fontId="39" fillId="15" borderId="0" xfId="0" applyFont="1" applyFill="1" applyAlignment="1">
      <alignment vertical="center"/>
    </xf>
    <xf numFmtId="0" fontId="21" fillId="15" borderId="0" xfId="10" applyFill="1">
      <alignment horizontal="left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8" xfId="0" applyFont="1" applyFill="1" applyBorder="1" applyAlignment="1">
      <alignment horizontal="left" vertical="center"/>
    </xf>
    <xf numFmtId="0" fontId="20" fillId="3" borderId="25" xfId="0" applyFont="1" applyFill="1" applyBorder="1" applyAlignment="1">
      <alignment horizontal="left" vertical="center"/>
    </xf>
    <xf numFmtId="0" fontId="7" fillId="6" borderId="24" xfId="0" applyFont="1" applyFill="1" applyBorder="1" applyAlignment="1">
      <alignment horizontal="center" vertical="center"/>
    </xf>
    <xf numFmtId="0" fontId="7" fillId="15" borderId="0" xfId="0" applyFont="1" applyFill="1" applyAlignment="1"/>
    <xf numFmtId="0" fontId="20" fillId="7" borderId="10" xfId="0" applyFont="1" applyFill="1" applyBorder="1" applyAlignment="1">
      <alignment vertical="center"/>
    </xf>
    <xf numFmtId="0" fontId="20" fillId="7" borderId="6" xfId="0" applyFont="1" applyFill="1" applyBorder="1" applyAlignment="1">
      <alignment vertical="center"/>
    </xf>
    <xf numFmtId="0" fontId="20" fillId="7" borderId="13" xfId="0" applyFont="1" applyFill="1" applyBorder="1" applyAlignment="1">
      <alignment vertical="center"/>
    </xf>
    <xf numFmtId="44" fontId="18" fillId="6" borderId="4" xfId="4" applyFont="1" applyFill="1" applyBorder="1">
      <alignment vertical="center"/>
    </xf>
    <xf numFmtId="44" fontId="18" fillId="8" borderId="4" xfId="4" applyFont="1" applyFill="1" applyBorder="1">
      <alignment vertical="center"/>
    </xf>
    <xf numFmtId="0" fontId="6" fillId="15" borderId="0" xfId="0" applyFont="1" applyFill="1"/>
    <xf numFmtId="3" fontId="18" fillId="15" borderId="0" xfId="8" applyFill="1" applyBorder="1" applyProtection="1">
      <alignment horizontal="center" vertical="center"/>
      <protection locked="0"/>
    </xf>
    <xf numFmtId="0" fontId="18" fillId="15" borderId="0" xfId="0" applyFont="1" applyFill="1" applyBorder="1" applyAlignment="1" applyProtection="1">
      <alignment horizontal="center" vertical="center"/>
      <protection locked="0"/>
    </xf>
    <xf numFmtId="0" fontId="5" fillId="15" borderId="0" xfId="0" applyFont="1" applyFill="1"/>
    <xf numFmtId="44" fontId="0" fillId="15" borderId="0" xfId="0" applyNumberFormat="1" applyFill="1"/>
    <xf numFmtId="0" fontId="0" fillId="15" borderId="0" xfId="0" applyFill="1" applyAlignment="1"/>
    <xf numFmtId="168" fontId="18" fillId="15" borderId="0" xfId="0" applyNumberFormat="1" applyFont="1" applyFill="1"/>
    <xf numFmtId="9" fontId="0" fillId="15" borderId="0" xfId="0" applyNumberFormat="1" applyFill="1"/>
    <xf numFmtId="44" fontId="20" fillId="15" borderId="0" xfId="0" applyNumberFormat="1" applyFont="1" applyFill="1"/>
    <xf numFmtId="0" fontId="20" fillId="15" borderId="0" xfId="0" applyFont="1" applyFill="1"/>
    <xf numFmtId="9" fontId="16" fillId="15" borderId="0" xfId="0" applyNumberFormat="1" applyFont="1" applyFill="1"/>
    <xf numFmtId="0" fontId="4" fillId="15" borderId="0" xfId="0" applyFont="1" applyFill="1"/>
    <xf numFmtId="0" fontId="4" fillId="15" borderId="0" xfId="0" applyFont="1" applyFill="1" applyBorder="1" applyAlignment="1">
      <alignment vertical="center"/>
    </xf>
    <xf numFmtId="0" fontId="4" fillId="11" borderId="12" xfId="0" applyFont="1" applyFill="1" applyBorder="1" applyAlignment="1">
      <alignment vertical="center"/>
    </xf>
    <xf numFmtId="0" fontId="21" fillId="15" borderId="0" xfId="10" applyFont="1" applyFill="1">
      <alignment horizontal="left" vertical="center"/>
    </xf>
    <xf numFmtId="0" fontId="33" fillId="17" borderId="23" xfId="12" applyFont="1" applyFill="1" applyBorder="1" applyAlignment="1">
      <alignment horizontal="center" vertical="center"/>
    </xf>
    <xf numFmtId="0" fontId="33" fillId="17" borderId="24" xfId="12" applyFont="1" applyFill="1" applyBorder="1" applyAlignment="1">
      <alignment horizontal="center" vertical="center"/>
    </xf>
    <xf numFmtId="0" fontId="26" fillId="3" borderId="12" xfId="12" applyFont="1" applyFill="1" applyBorder="1" applyAlignment="1">
      <alignment horizontal="center" vertical="center"/>
    </xf>
    <xf numFmtId="166" fontId="26" fillId="3" borderId="1" xfId="1" applyNumberFormat="1" applyFont="1" applyFill="1" applyBorder="1" applyAlignment="1">
      <alignment horizontal="center" vertical="center"/>
    </xf>
    <xf numFmtId="0" fontId="26" fillId="3" borderId="1" xfId="12" applyFont="1" applyFill="1" applyBorder="1" applyAlignment="1">
      <alignment horizontal="center" vertical="center"/>
    </xf>
    <xf numFmtId="0" fontId="33" fillId="3" borderId="11" xfId="12" applyFont="1" applyFill="1" applyBorder="1" applyAlignment="1">
      <alignment horizontal="center" vertical="center"/>
    </xf>
    <xf numFmtId="0" fontId="26" fillId="8" borderId="12" xfId="12" applyFont="1" applyFill="1" applyBorder="1" applyAlignment="1">
      <alignment horizontal="center" vertical="center"/>
    </xf>
    <xf numFmtId="0" fontId="26" fillId="8" borderId="1" xfId="12" applyFont="1" applyFill="1" applyBorder="1" applyAlignment="1">
      <alignment horizontal="center" vertical="center"/>
    </xf>
    <xf numFmtId="0" fontId="33" fillId="8" borderId="11" xfId="12" applyFont="1" applyFill="1" applyBorder="1" applyAlignment="1">
      <alignment horizontal="center" vertical="center"/>
    </xf>
    <xf numFmtId="44" fontId="26" fillId="15" borderId="12" xfId="4" applyFont="1" applyFill="1" applyBorder="1">
      <alignment vertical="center"/>
    </xf>
    <xf numFmtId="44" fontId="26" fillId="15" borderId="1" xfId="4" applyFont="1" applyFill="1" applyBorder="1">
      <alignment vertical="center"/>
    </xf>
    <xf numFmtId="0" fontId="26" fillId="15" borderId="1" xfId="12" applyFont="1" applyFill="1" applyBorder="1" applyAlignment="1">
      <alignment horizontal="center" vertical="center"/>
    </xf>
    <xf numFmtId="4" fontId="33" fillId="15" borderId="11" xfId="12" applyNumberFormat="1" applyFont="1" applyFill="1" applyBorder="1" applyAlignment="1">
      <alignment horizontal="center" vertical="center"/>
    </xf>
    <xf numFmtId="44" fontId="26" fillId="15" borderId="14" xfId="4" applyFont="1" applyFill="1" applyBorder="1">
      <alignment vertical="center"/>
    </xf>
    <xf numFmtId="44" fontId="26" fillId="15" borderId="15" xfId="4" applyFont="1" applyFill="1" applyBorder="1">
      <alignment vertical="center"/>
    </xf>
    <xf numFmtId="0" fontId="26" fillId="15" borderId="15" xfId="12" applyFont="1" applyFill="1" applyBorder="1" applyAlignment="1">
      <alignment horizontal="center" vertical="center"/>
    </xf>
    <xf numFmtId="4" fontId="33" fillId="15" borderId="16" xfId="12" applyNumberFormat="1" applyFont="1" applyFill="1" applyBorder="1" applyAlignment="1">
      <alignment horizontal="center" vertical="center"/>
    </xf>
    <xf numFmtId="44" fontId="4" fillId="12" borderId="1" xfId="4" applyFont="1" applyFill="1" applyBorder="1">
      <alignment vertical="center"/>
    </xf>
    <xf numFmtId="44" fontId="4" fillId="16" borderId="33" xfId="4" applyFont="1" applyFill="1" applyBorder="1">
      <alignment vertical="center"/>
    </xf>
    <xf numFmtId="44" fontId="20" fillId="12" borderId="15" xfId="4" applyFont="1" applyFill="1" applyBorder="1">
      <alignment vertical="center"/>
    </xf>
    <xf numFmtId="0" fontId="21" fillId="15" borderId="0" xfId="11" applyFont="1" applyFill="1">
      <alignment horizontal="left" vertical="center"/>
    </xf>
    <xf numFmtId="0" fontId="38" fillId="15" borderId="0" xfId="0" applyFont="1" applyFill="1"/>
    <xf numFmtId="0" fontId="40" fillId="15" borderId="0" xfId="0" applyFont="1" applyFill="1"/>
    <xf numFmtId="0" fontId="21" fillId="15" borderId="0" xfId="10" applyFill="1">
      <alignment horizontal="left" vertical="center"/>
    </xf>
    <xf numFmtId="0" fontId="0" fillId="15" borderId="0" xfId="0" applyFill="1"/>
    <xf numFmtId="0" fontId="20" fillId="5" borderId="7" xfId="0" applyFont="1" applyFill="1" applyBorder="1" applyAlignment="1">
      <alignment horizontal="lef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9" xfId="0" applyFont="1" applyFill="1" applyBorder="1" applyAlignment="1">
      <alignment horizontal="left" vertical="center"/>
    </xf>
    <xf numFmtId="0" fontId="33" fillId="17" borderId="23" xfId="12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2" fillId="0" borderId="11" xfId="9" applyFont="1" applyFill="1" applyBorder="1">
      <alignment horizontal="right" vertical="center"/>
    </xf>
    <xf numFmtId="44" fontId="2" fillId="0" borderId="11" xfId="4" applyFont="1" applyFill="1" applyBorder="1" applyAlignment="1">
      <alignment horizontal="center" vertical="center"/>
    </xf>
    <xf numFmtId="44" fontId="2" fillId="0" borderId="16" xfId="4" applyFont="1" applyFill="1" applyBorder="1" applyAlignment="1">
      <alignment horizontal="center" vertical="center"/>
    </xf>
    <xf numFmtId="3" fontId="2" fillId="0" borderId="11" xfId="8" applyFont="1" applyFill="1" applyBorder="1">
      <alignment horizontal="center" vertical="center"/>
    </xf>
    <xf numFmtId="0" fontId="2" fillId="15" borderId="0" xfId="0" applyFont="1" applyFill="1" applyBorder="1" applyAlignment="1">
      <alignment vertical="center"/>
    </xf>
    <xf numFmtId="44" fontId="2" fillId="10" borderId="11" xfId="4" applyFont="1" applyFill="1" applyBorder="1" applyProtection="1">
      <alignment vertical="center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0" borderId="11" xfId="9" applyFont="1" applyBorder="1">
      <alignment horizontal="right" vertical="center"/>
    </xf>
    <xf numFmtId="3" fontId="2" fillId="8" borderId="15" xfId="14" applyFill="1" applyBorder="1">
      <alignment horizontal="center" vertical="center"/>
    </xf>
    <xf numFmtId="3" fontId="2" fillId="8" borderId="16" xfId="14" applyFill="1" applyBorder="1">
      <alignment horizontal="center" vertical="center"/>
    </xf>
    <xf numFmtId="3" fontId="18" fillId="19" borderId="1" xfId="8" applyFill="1" applyBorder="1">
      <alignment horizontal="center" vertical="center"/>
    </xf>
    <xf numFmtId="3" fontId="18" fillId="19" borderId="11" xfId="8" applyFill="1" applyBorder="1">
      <alignment horizontal="center" vertical="center"/>
    </xf>
    <xf numFmtId="3" fontId="18" fillId="19" borderId="15" xfId="8" applyFill="1" applyBorder="1">
      <alignment horizontal="center" vertical="center"/>
    </xf>
    <xf numFmtId="3" fontId="18" fillId="19" borderId="16" xfId="8" applyFill="1" applyBorder="1">
      <alignment horizontal="center" vertical="center"/>
    </xf>
    <xf numFmtId="3" fontId="18" fillId="0" borderId="4" xfId="8" applyFill="1" applyBorder="1">
      <alignment horizontal="center" vertical="center"/>
    </xf>
    <xf numFmtId="44" fontId="18" fillId="0" borderId="4" xfId="4" applyFont="1" applyFill="1" applyBorder="1">
      <alignment vertical="center"/>
    </xf>
    <xf numFmtId="44" fontId="18" fillId="0" borderId="29" xfId="4" applyFont="1" applyFill="1" applyBorder="1">
      <alignment vertical="center"/>
    </xf>
    <xf numFmtId="3" fontId="18" fillId="6" borderId="33" xfId="8" applyFill="1" applyBorder="1">
      <alignment horizontal="center" vertical="center"/>
    </xf>
    <xf numFmtId="3" fontId="18" fillId="8" borderId="33" xfId="8" applyFill="1" applyBorder="1">
      <alignment horizontal="center" vertical="center"/>
    </xf>
    <xf numFmtId="44" fontId="18" fillId="8" borderId="33" xfId="4" applyFont="1" applyFill="1" applyBorder="1">
      <alignment vertical="center"/>
    </xf>
    <xf numFmtId="44" fontId="18" fillId="10" borderId="34" xfId="4" applyFont="1" applyFill="1" applyBorder="1">
      <alignment vertical="center"/>
    </xf>
    <xf numFmtId="44" fontId="18" fillId="12" borderId="33" xfId="4" applyFont="1" applyFill="1" applyBorder="1">
      <alignment vertical="center"/>
    </xf>
    <xf numFmtId="44" fontId="18" fillId="12" borderId="34" xfId="4" applyFont="1" applyFill="1" applyBorder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 wrapText="1"/>
    </xf>
    <xf numFmtId="167" fontId="20" fillId="0" borderId="16" xfId="13" applyFont="1" applyFill="1" applyBorder="1">
      <alignment horizontal="center" vertical="center"/>
    </xf>
    <xf numFmtId="167" fontId="10" fillId="6" borderId="11" xfId="13" applyFill="1" applyBorder="1">
      <alignment horizontal="center" vertical="center"/>
    </xf>
    <xf numFmtId="3" fontId="18" fillId="20" borderId="1" xfId="8" applyFill="1" applyBorder="1">
      <alignment horizontal="center" vertical="center"/>
    </xf>
    <xf numFmtId="3" fontId="18" fillId="20" borderId="11" xfId="8" applyFill="1" applyBorder="1">
      <alignment horizontal="center" vertical="center"/>
    </xf>
    <xf numFmtId="0" fontId="2" fillId="15" borderId="22" xfId="0" applyFont="1" applyFill="1" applyBorder="1" applyAlignment="1">
      <alignment vertical="center"/>
    </xf>
    <xf numFmtId="0" fontId="2" fillId="15" borderId="12" xfId="0" applyFont="1" applyFill="1" applyBorder="1" applyAlignment="1">
      <alignment vertical="center"/>
    </xf>
    <xf numFmtId="0" fontId="2" fillId="15" borderId="11" xfId="0" applyFont="1" applyFill="1" applyBorder="1" applyAlignment="1">
      <alignment vertical="center"/>
    </xf>
    <xf numFmtId="0" fontId="2" fillId="15" borderId="14" xfId="0" applyFont="1" applyFill="1" applyBorder="1" applyAlignment="1">
      <alignment vertical="center"/>
    </xf>
    <xf numFmtId="0" fontId="2" fillId="15" borderId="16" xfId="0" applyFont="1" applyFill="1" applyBorder="1" applyAlignment="1">
      <alignment vertical="center"/>
    </xf>
    <xf numFmtId="0" fontId="16" fillId="15" borderId="0" xfId="0" applyFont="1" applyFill="1" applyBorder="1"/>
    <xf numFmtId="44" fontId="4" fillId="0" borderId="1" xfId="4" applyFont="1" applyFill="1" applyBorder="1">
      <alignment vertical="center"/>
    </xf>
    <xf numFmtId="44" fontId="20" fillId="0" borderId="15" xfId="4" applyFont="1" applyFill="1" applyBorder="1">
      <alignment vertical="center"/>
    </xf>
    <xf numFmtId="44" fontId="4" fillId="12" borderId="33" xfId="4" applyFont="1" applyFill="1" applyBorder="1">
      <alignment vertical="center"/>
    </xf>
    <xf numFmtId="44" fontId="20" fillId="12" borderId="34" xfId="4" applyFont="1" applyFill="1" applyBorder="1">
      <alignment vertical="center"/>
    </xf>
    <xf numFmtId="0" fontId="18" fillId="15" borderId="1" xfId="0" applyFont="1" applyFill="1" applyBorder="1" applyAlignment="1">
      <alignment horizontal="center" vertical="center"/>
    </xf>
    <xf numFmtId="0" fontId="18" fillId="15" borderId="15" xfId="0" applyFont="1" applyFill="1" applyBorder="1" applyAlignment="1">
      <alignment horizontal="center" vertical="center"/>
    </xf>
    <xf numFmtId="0" fontId="5" fillId="0" borderId="0" xfId="0" applyFont="1" applyFill="1"/>
    <xf numFmtId="0" fontId="18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" vertical="center"/>
    </xf>
    <xf numFmtId="0" fontId="21" fillId="15" borderId="0" xfId="10" applyFill="1" applyAlignment="1">
      <alignment horizontal="center" vertical="center"/>
    </xf>
    <xf numFmtId="0" fontId="19" fillId="15" borderId="0" xfId="0" applyFont="1" applyFill="1" applyAlignment="1">
      <alignment horizontal="center" vertical="center" wrapText="1"/>
    </xf>
    <xf numFmtId="0" fontId="3" fillId="15" borderId="0" xfId="0" applyFont="1" applyFill="1" applyAlignment="1">
      <alignment horizontal="center"/>
    </xf>
    <xf numFmtId="0" fontId="10" fillId="15" borderId="0" xfId="0" applyFont="1" applyFill="1" applyAlignment="1">
      <alignment horizontal="center"/>
    </xf>
    <xf numFmtId="0" fontId="21" fillId="15" borderId="0" xfId="10" applyFill="1">
      <alignment horizontal="left" vertical="center"/>
    </xf>
    <xf numFmtId="0" fontId="25" fillId="4" borderId="10" xfId="0" applyFont="1" applyFill="1" applyBorder="1" applyAlignment="1">
      <alignment horizontal="left" vertical="center"/>
    </xf>
    <xf numFmtId="0" fontId="25" fillId="4" borderId="5" xfId="0" applyFont="1" applyFill="1" applyBorder="1" applyAlignment="1">
      <alignment horizontal="left" vertical="center"/>
    </xf>
    <xf numFmtId="0" fontId="36" fillId="13" borderId="2" xfId="0" applyFont="1" applyFill="1" applyBorder="1" applyAlignment="1">
      <alignment horizontal="center" vertical="center"/>
    </xf>
    <xf numFmtId="0" fontId="36" fillId="13" borderId="3" xfId="0" applyFont="1" applyFill="1" applyBorder="1" applyAlignment="1">
      <alignment horizontal="center" vertical="center"/>
    </xf>
    <xf numFmtId="0" fontId="36" fillId="13" borderId="26" xfId="0" applyFont="1" applyFill="1" applyBorder="1" applyAlignment="1">
      <alignment horizontal="center" vertical="center"/>
    </xf>
    <xf numFmtId="0" fontId="36" fillId="13" borderId="27" xfId="0" applyFont="1" applyFill="1" applyBorder="1" applyAlignment="1">
      <alignment horizontal="center" vertical="center"/>
    </xf>
    <xf numFmtId="0" fontId="18" fillId="10" borderId="12" xfId="0" applyFont="1" applyFill="1" applyBorder="1" applyAlignment="1" applyProtection="1">
      <alignment horizontal="left" vertical="center"/>
      <protection locked="0"/>
    </xf>
    <xf numFmtId="0" fontId="18" fillId="10" borderId="1" xfId="0" applyFont="1" applyFill="1" applyBorder="1" applyAlignment="1" applyProtection="1">
      <alignment horizontal="left" vertical="center"/>
      <protection locked="0"/>
    </xf>
    <xf numFmtId="0" fontId="18" fillId="10" borderId="10" xfId="0" applyFont="1" applyFill="1" applyBorder="1" applyAlignment="1" applyProtection="1">
      <alignment horizontal="left" vertical="center"/>
      <protection locked="0"/>
    </xf>
    <xf numFmtId="0" fontId="18" fillId="10" borderId="6" xfId="0" applyFont="1" applyFill="1" applyBorder="1" applyAlignment="1" applyProtection="1">
      <alignment horizontal="left" vertical="center"/>
      <protection locked="0"/>
    </xf>
    <xf numFmtId="0" fontId="18" fillId="10" borderId="5" xfId="0" applyFont="1" applyFill="1" applyBorder="1" applyAlignment="1" applyProtection="1">
      <alignment horizontal="left" vertical="center"/>
      <protection locked="0"/>
    </xf>
    <xf numFmtId="0" fontId="0" fillId="15" borderId="0" xfId="0" applyFill="1"/>
    <xf numFmtId="0" fontId="18" fillId="10" borderId="10" xfId="0" applyFont="1" applyFill="1" applyBorder="1" applyAlignment="1">
      <alignment horizontal="left" vertical="center" wrapText="1"/>
    </xf>
    <xf numFmtId="0" fontId="18" fillId="10" borderId="5" xfId="0" applyFont="1" applyFill="1" applyBorder="1" applyAlignment="1">
      <alignment horizontal="left" vertical="center" wrapText="1"/>
    </xf>
    <xf numFmtId="0" fontId="18" fillId="10" borderId="20" xfId="0" applyFont="1" applyFill="1" applyBorder="1" applyAlignment="1">
      <alignment horizontal="left" wrapText="1"/>
    </xf>
    <xf numFmtId="0" fontId="18" fillId="10" borderId="21" xfId="0" applyFont="1" applyFill="1" applyBorder="1" applyAlignment="1">
      <alignment horizontal="left" wrapText="1"/>
    </xf>
    <xf numFmtId="0" fontId="2" fillId="10" borderId="10" xfId="0" applyFont="1" applyFill="1" applyBorder="1" applyAlignment="1" applyProtection="1">
      <alignment horizontal="left" vertical="center"/>
      <protection locked="0"/>
    </xf>
    <xf numFmtId="0" fontId="2" fillId="10" borderId="6" xfId="0" applyFont="1" applyFill="1" applyBorder="1" applyAlignment="1" applyProtection="1">
      <alignment horizontal="left" vertical="center"/>
      <protection locked="0"/>
    </xf>
    <xf numFmtId="0" fontId="2" fillId="10" borderId="5" xfId="0" applyFont="1" applyFill="1" applyBorder="1" applyAlignment="1" applyProtection="1">
      <alignment horizontal="left" vertical="center"/>
      <protection locked="0"/>
    </xf>
    <xf numFmtId="0" fontId="18" fillId="10" borderId="10" xfId="0" applyFont="1" applyFill="1" applyBorder="1" applyAlignment="1" applyProtection="1">
      <alignment horizontal="center" vertical="center"/>
      <protection locked="0"/>
    </xf>
    <xf numFmtId="0" fontId="18" fillId="10" borderId="6" xfId="0" applyFont="1" applyFill="1" applyBorder="1" applyAlignment="1" applyProtection="1">
      <alignment horizontal="center" vertical="center"/>
      <protection locked="0"/>
    </xf>
    <xf numFmtId="0" fontId="18" fillId="10" borderId="5" xfId="0" applyFont="1" applyFill="1" applyBorder="1" applyAlignment="1" applyProtection="1">
      <alignment horizontal="center" vertical="center"/>
      <protection locked="0"/>
    </xf>
    <xf numFmtId="0" fontId="20" fillId="3" borderId="46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9" xfId="0" applyFont="1" applyFill="1" applyBorder="1" applyAlignment="1">
      <alignment horizontal="left" vertical="center"/>
    </xf>
    <xf numFmtId="0" fontId="20" fillId="5" borderId="10" xfId="0" applyFont="1" applyFill="1" applyBorder="1" applyAlignment="1">
      <alignment horizontal="left" vertical="center"/>
    </xf>
    <xf numFmtId="0" fontId="20" fillId="5" borderId="6" xfId="0" applyFont="1" applyFill="1" applyBorder="1" applyAlignment="1">
      <alignment horizontal="left" vertical="center"/>
    </xf>
    <xf numFmtId="0" fontId="20" fillId="5" borderId="13" xfId="0" applyFont="1" applyFill="1" applyBorder="1" applyAlignment="1">
      <alignment horizontal="left" vertical="center"/>
    </xf>
    <xf numFmtId="0" fontId="25" fillId="4" borderId="20" xfId="0" applyFont="1" applyFill="1" applyBorder="1" applyAlignment="1">
      <alignment horizontal="left" vertical="center"/>
    </xf>
    <xf numFmtId="0" fontId="25" fillId="4" borderId="21" xfId="0" applyFont="1" applyFill="1" applyBorder="1" applyAlignment="1">
      <alignment horizontal="left" vertical="center"/>
    </xf>
    <xf numFmtId="0" fontId="20" fillId="5" borderId="17" xfId="0" applyFont="1" applyFill="1" applyBorder="1" applyAlignment="1">
      <alignment horizontal="left" vertical="center"/>
    </xf>
    <xf numFmtId="0" fontId="20" fillId="5" borderId="18" xfId="0" applyFont="1" applyFill="1" applyBorder="1" applyAlignment="1">
      <alignment horizontal="left" vertical="center"/>
    </xf>
    <xf numFmtId="0" fontId="26" fillId="7" borderId="1" xfId="0" applyFont="1" applyFill="1" applyBorder="1" applyAlignment="1">
      <alignment horizontal="left" vertical="center" wrapText="1"/>
    </xf>
    <xf numFmtId="0" fontId="20" fillId="7" borderId="1" xfId="0" applyFont="1" applyFill="1" applyBorder="1" applyAlignment="1">
      <alignment horizontal="left" vertical="center"/>
    </xf>
    <xf numFmtId="0" fontId="26" fillId="7" borderId="1" xfId="0" applyFont="1" applyFill="1" applyBorder="1" applyAlignment="1">
      <alignment horizontal="left" vertical="center"/>
    </xf>
    <xf numFmtId="0" fontId="33" fillId="17" borderId="22" xfId="12" applyFont="1" applyFill="1" applyBorder="1" applyAlignment="1">
      <alignment horizontal="center" vertical="center" wrapText="1"/>
    </xf>
    <xf numFmtId="0" fontId="33" fillId="17" borderId="23" xfId="12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0" fillId="6" borderId="1" xfId="0" applyFont="1" applyFill="1" applyBorder="1" applyAlignment="1">
      <alignment horizontal="center" vertical="center"/>
    </xf>
    <xf numFmtId="0" fontId="1" fillId="15" borderId="0" xfId="0" applyFont="1" applyFill="1"/>
  </cellXfs>
  <cellStyles count="15">
    <cellStyle name="EUR" xfId="4" xr:uid="{00000000-0005-0000-0000-000000000000}"/>
    <cellStyle name="EUR/MWh" xfId="9" xr:uid="{00000000-0005-0000-0000-000001000000}"/>
    <cellStyle name="Faktor" xfId="13" xr:uid="{00000000-0005-0000-0000-000002000000}"/>
    <cellStyle name="kWh" xfId="8" xr:uid="{00000000-0005-0000-0000-000003000000}"/>
    <cellStyle name="kWh 2" xfId="14" xr:uid="{7FA5C4A7-7698-4928-84A0-ED1CECD5637E}"/>
    <cellStyle name="Naslov" xfId="2" builtinId="15" customBuiltin="1"/>
    <cellStyle name="Naslov m" xfId="10" xr:uid="{00000000-0005-0000-0000-000005000000}"/>
    <cellStyle name="Naslov v" xfId="11" xr:uid="{00000000-0005-0000-0000-000006000000}"/>
    <cellStyle name="Navadno" xfId="0" builtinId="0"/>
    <cellStyle name="Navadno 2 2" xfId="12" xr:uid="{00000000-0005-0000-0000-000008000000}"/>
    <cellStyle name="Normal 2" xfId="3" xr:uid="{00000000-0005-0000-0000-000009000000}"/>
    <cellStyle name="Odstotek" xfId="1" builtinId="5"/>
    <cellStyle name="Odstotek 3" xfId="5" xr:uid="{00000000-0005-0000-0000-00000B000000}"/>
    <cellStyle name="Percent 2" xfId="7" xr:uid="{00000000-0005-0000-0000-00000C000000}"/>
    <cellStyle name="Valuta 2" xfId="6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I47"/>
  <sheetViews>
    <sheetView view="pageBreakPreview" zoomScaleNormal="100" zoomScaleSheetLayoutView="100" workbookViewId="0">
      <selection activeCell="E21" sqref="E21"/>
    </sheetView>
  </sheetViews>
  <sheetFormatPr defaultColWidth="9.140625" defaultRowHeight="14.25" x14ac:dyDescent="0.2"/>
  <cols>
    <col min="1" max="4" width="9.140625" style="216"/>
    <col min="5" max="5" width="9.140625" style="215"/>
    <col min="6" max="16384" width="9.140625" style="216"/>
  </cols>
  <sheetData>
    <row r="12" spans="1:9" x14ac:dyDescent="0.2">
      <c r="H12" s="69"/>
    </row>
    <row r="14" spans="1:9" x14ac:dyDescent="0.2">
      <c r="A14" s="420" t="s">
        <v>203</v>
      </c>
      <c r="B14" s="420"/>
      <c r="C14" s="420"/>
      <c r="D14" s="420"/>
      <c r="E14" s="420"/>
      <c r="F14" s="420"/>
      <c r="G14" s="420"/>
      <c r="H14" s="420"/>
      <c r="I14" s="420"/>
    </row>
    <row r="15" spans="1:9" x14ac:dyDescent="0.2">
      <c r="A15" s="420"/>
      <c r="B15" s="420"/>
      <c r="C15" s="420"/>
      <c r="D15" s="420"/>
      <c r="E15" s="420"/>
      <c r="F15" s="420"/>
      <c r="G15" s="420"/>
      <c r="H15" s="420"/>
      <c r="I15" s="420"/>
    </row>
    <row r="16" spans="1:9" ht="34.5" customHeight="1" x14ac:dyDescent="0.2">
      <c r="A16" s="420"/>
      <c r="B16" s="420"/>
      <c r="C16" s="420"/>
      <c r="D16" s="420"/>
      <c r="E16" s="420"/>
      <c r="F16" s="420"/>
      <c r="G16" s="420"/>
      <c r="H16" s="420"/>
      <c r="I16" s="420"/>
    </row>
    <row r="19" spans="1:9" ht="23.25" x14ac:dyDescent="0.2">
      <c r="A19" s="418" t="s">
        <v>215</v>
      </c>
      <c r="B19" s="418"/>
      <c r="C19" s="418"/>
      <c r="D19" s="418"/>
      <c r="E19" s="418"/>
      <c r="F19" s="418"/>
      <c r="G19" s="418"/>
      <c r="H19" s="418"/>
      <c r="I19" s="418"/>
    </row>
    <row r="20" spans="1:9" ht="15" x14ac:dyDescent="0.2">
      <c r="E20" s="292" t="s">
        <v>226</v>
      </c>
    </row>
    <row r="21" spans="1:9" ht="15" x14ac:dyDescent="0.2">
      <c r="E21" s="292"/>
    </row>
    <row r="22" spans="1:9" ht="12.75" customHeight="1" x14ac:dyDescent="0.2"/>
    <row r="23" spans="1:9" ht="23.25" customHeight="1" x14ac:dyDescent="0.2"/>
    <row r="25" spans="1:9" ht="29.25" customHeight="1" x14ac:dyDescent="0.2"/>
    <row r="27" spans="1:9" ht="15" customHeight="1" x14ac:dyDescent="0.2">
      <c r="D27" s="419" t="s">
        <v>106</v>
      </c>
      <c r="E27" s="419"/>
      <c r="F27" s="419"/>
    </row>
    <row r="28" spans="1:9" ht="15" customHeight="1" x14ac:dyDescent="0.2">
      <c r="C28" s="217"/>
      <c r="D28" s="422" t="s">
        <v>204</v>
      </c>
      <c r="E28" s="417"/>
      <c r="F28" s="417"/>
      <c r="G28" s="69"/>
    </row>
    <row r="29" spans="1:9" x14ac:dyDescent="0.2">
      <c r="C29" s="217"/>
      <c r="D29" s="422" t="s">
        <v>9</v>
      </c>
      <c r="E29" s="417"/>
      <c r="F29" s="417"/>
      <c r="G29" s="69"/>
    </row>
    <row r="30" spans="1:9" x14ac:dyDescent="0.2">
      <c r="C30" s="217"/>
      <c r="D30" s="422" t="s">
        <v>8</v>
      </c>
      <c r="E30" s="417"/>
      <c r="F30" s="417"/>
      <c r="G30" s="69"/>
    </row>
    <row r="31" spans="1:9" x14ac:dyDescent="0.2">
      <c r="C31" s="217"/>
      <c r="D31" s="421" t="s">
        <v>219</v>
      </c>
      <c r="E31" s="417"/>
      <c r="F31" s="417"/>
      <c r="G31" s="69"/>
    </row>
    <row r="32" spans="1:9" x14ac:dyDescent="0.2">
      <c r="C32" s="217"/>
      <c r="D32" s="422" t="s">
        <v>107</v>
      </c>
      <c r="E32" s="417"/>
      <c r="F32" s="417"/>
      <c r="G32" s="69"/>
    </row>
    <row r="33" spans="3:7" x14ac:dyDescent="0.2">
      <c r="C33" s="217"/>
      <c r="D33" s="422" t="s">
        <v>156</v>
      </c>
      <c r="E33" s="417"/>
      <c r="F33" s="417"/>
      <c r="G33" s="69"/>
    </row>
    <row r="34" spans="3:7" x14ac:dyDescent="0.2">
      <c r="C34" s="217"/>
      <c r="D34" s="421" t="s">
        <v>220</v>
      </c>
      <c r="E34" s="417"/>
      <c r="F34" s="417"/>
      <c r="G34" s="69"/>
    </row>
    <row r="35" spans="3:7" x14ac:dyDescent="0.2">
      <c r="C35" s="217"/>
      <c r="D35" s="422" t="s">
        <v>205</v>
      </c>
      <c r="E35" s="417"/>
      <c r="F35" s="417"/>
      <c r="G35" s="69"/>
    </row>
    <row r="36" spans="3:7" x14ac:dyDescent="0.2">
      <c r="C36" s="217"/>
      <c r="D36" s="417"/>
      <c r="E36" s="417"/>
      <c r="F36" s="417"/>
      <c r="G36" s="69"/>
    </row>
    <row r="37" spans="3:7" x14ac:dyDescent="0.2">
      <c r="C37" s="217"/>
      <c r="D37" s="417"/>
      <c r="E37" s="417"/>
      <c r="F37" s="417"/>
      <c r="G37" s="69"/>
    </row>
    <row r="38" spans="3:7" x14ac:dyDescent="0.2">
      <c r="C38" s="217"/>
      <c r="D38" s="417"/>
      <c r="E38" s="417"/>
      <c r="F38" s="417"/>
      <c r="G38" s="69"/>
    </row>
    <row r="39" spans="3:7" x14ac:dyDescent="0.2">
      <c r="C39" s="217"/>
      <c r="D39" s="417"/>
      <c r="E39" s="417"/>
      <c r="F39" s="417"/>
      <c r="G39" s="69"/>
    </row>
    <row r="40" spans="3:7" x14ac:dyDescent="0.2">
      <c r="C40" s="217"/>
      <c r="D40" s="417"/>
      <c r="E40" s="417"/>
      <c r="F40" s="417"/>
      <c r="G40" s="69"/>
    </row>
    <row r="41" spans="3:7" x14ac:dyDescent="0.2">
      <c r="C41" s="217"/>
      <c r="D41" s="417"/>
      <c r="E41" s="417"/>
      <c r="F41" s="417"/>
      <c r="G41" s="69"/>
    </row>
    <row r="42" spans="3:7" x14ac:dyDescent="0.2">
      <c r="C42" s="217"/>
      <c r="D42" s="417"/>
      <c r="E42" s="417"/>
      <c r="F42" s="417"/>
      <c r="G42" s="69"/>
    </row>
    <row r="43" spans="3:7" x14ac:dyDescent="0.2">
      <c r="C43" s="69"/>
      <c r="D43" s="69"/>
      <c r="F43" s="69"/>
      <c r="G43" s="69"/>
    </row>
    <row r="44" spans="3:7" x14ac:dyDescent="0.2">
      <c r="C44" s="69"/>
      <c r="D44" s="69"/>
      <c r="F44" s="69"/>
      <c r="G44" s="69"/>
    </row>
    <row r="45" spans="3:7" x14ac:dyDescent="0.2">
      <c r="D45" s="69"/>
      <c r="E45" s="218"/>
      <c r="F45" s="69"/>
      <c r="G45" s="69"/>
    </row>
    <row r="46" spans="3:7" x14ac:dyDescent="0.2">
      <c r="D46" s="69"/>
      <c r="E46" s="218"/>
      <c r="F46" s="69"/>
      <c r="G46" s="69"/>
    </row>
    <row r="47" spans="3:7" x14ac:dyDescent="0.2">
      <c r="D47" s="69"/>
      <c r="E47" s="218"/>
      <c r="F47" s="69"/>
      <c r="G47" s="69"/>
    </row>
  </sheetData>
  <mergeCells count="18">
    <mergeCell ref="D42:F42"/>
    <mergeCell ref="D31:F31"/>
    <mergeCell ref="D30:F30"/>
    <mergeCell ref="D29:F29"/>
    <mergeCell ref="D28:F28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A19:I19"/>
    <mergeCell ref="D27:F27"/>
    <mergeCell ref="A14:I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975C0-040D-45E6-A612-92475230B388}">
  <sheetPr>
    <tabColor rgb="FF00B0F0"/>
  </sheetPr>
  <dimension ref="B2:K66"/>
  <sheetViews>
    <sheetView topLeftCell="A31" zoomScaleNormal="100" workbookViewId="0">
      <selection activeCell="N58" sqref="N58"/>
    </sheetView>
  </sheetViews>
  <sheetFormatPr defaultColWidth="9.140625" defaultRowHeight="12.75" x14ac:dyDescent="0.2"/>
  <cols>
    <col min="1" max="1" width="5.7109375" style="69" customWidth="1"/>
    <col min="2" max="2" width="33.5703125" style="69" customWidth="1"/>
    <col min="3" max="3" width="15.140625" style="69" customWidth="1"/>
    <col min="4" max="4" width="15.7109375" style="69" customWidth="1"/>
    <col min="5" max="6" width="12.7109375" style="69" customWidth="1"/>
    <col min="7" max="7" width="14.85546875" style="69" customWidth="1"/>
    <col min="8" max="8" width="12.7109375" style="69" customWidth="1"/>
    <col min="9" max="9" width="5.7109375" style="69" customWidth="1"/>
    <col min="10" max="16384" width="9.140625" style="69"/>
  </cols>
  <sheetData>
    <row r="2" spans="2:9" ht="20.25" x14ac:dyDescent="0.2">
      <c r="B2" s="74" t="s">
        <v>145</v>
      </c>
    </row>
    <row r="3" spans="2:9" ht="12" customHeight="1" thickBot="1" x14ac:dyDescent="0.25"/>
    <row r="4" spans="2:9" ht="15" customHeight="1" x14ac:dyDescent="0.2">
      <c r="B4" s="26" t="s">
        <v>52</v>
      </c>
      <c r="C4" s="27"/>
      <c r="D4" s="28"/>
      <c r="I4" s="207"/>
    </row>
    <row r="5" spans="2:9" ht="15" customHeight="1" x14ac:dyDescent="0.2">
      <c r="B5" s="424" t="s">
        <v>5</v>
      </c>
      <c r="C5" s="425"/>
      <c r="D5" s="11">
        <v>2</v>
      </c>
      <c r="I5" s="207"/>
    </row>
    <row r="6" spans="2:9" ht="15" customHeight="1" x14ac:dyDescent="0.2">
      <c r="B6" s="424" t="s">
        <v>4</v>
      </c>
      <c r="C6" s="425"/>
      <c r="D6" s="11" t="str">
        <f>INDEX('Referenčne količine'!$B$4:$E$14,MATCH(B6,('Referenčne količine'!$B$4:$B$14),0),MATCH($D$5,'Referenčne količine'!$B$5:$E$5,0))</f>
        <v>OB02</v>
      </c>
      <c r="I6" s="207"/>
    </row>
    <row r="7" spans="2:9" ht="26.25" thickBot="1" x14ac:dyDescent="0.25">
      <c r="B7" s="455" t="s">
        <v>3</v>
      </c>
      <c r="C7" s="456"/>
      <c r="D7" s="289" t="str">
        <f>INDEX('Referenčne količine'!$B$4:$E$14,MATCH(B7,('Referenčne količine'!$B$4:$B$14),0),MATCH($D$5,'Referenčne količine'!$B$5:$E$5,0))</f>
        <v>DD Vič - Stara uprava</v>
      </c>
    </row>
    <row r="8" spans="2:9" ht="7.9" customHeight="1" x14ac:dyDescent="0.2"/>
    <row r="9" spans="2:9" ht="15" customHeight="1" thickBot="1" x14ac:dyDescent="0.25">
      <c r="B9" s="367" t="s">
        <v>138</v>
      </c>
    </row>
    <row r="10" spans="2:9" ht="15" customHeight="1" x14ac:dyDescent="0.2">
      <c r="B10" s="135" t="s">
        <v>139</v>
      </c>
      <c r="C10" s="197">
        <f ca="1">D65</f>
        <v>8224.9188900000008</v>
      </c>
    </row>
    <row r="11" spans="2:9" ht="15" customHeight="1" x14ac:dyDescent="0.2">
      <c r="B11" s="24" t="s">
        <v>140</v>
      </c>
      <c r="C11" s="198">
        <f ca="1">D23</f>
        <v>1277.4697500000002</v>
      </c>
    </row>
    <row r="12" spans="2:9" ht="15" customHeight="1" x14ac:dyDescent="0.2">
      <c r="B12" s="24" t="s">
        <v>141</v>
      </c>
      <c r="C12" s="198">
        <f ca="1">D29</f>
        <v>2193</v>
      </c>
    </row>
    <row r="13" spans="2:9" ht="15" customHeight="1" x14ac:dyDescent="0.2">
      <c r="B13" s="24" t="s">
        <v>142</v>
      </c>
      <c r="C13" s="198">
        <f ca="1">SUM(C10:C12)</f>
        <v>11695.388640000001</v>
      </c>
    </row>
    <row r="14" spans="2:9" ht="15" customHeight="1" x14ac:dyDescent="0.2">
      <c r="B14" s="24" t="s">
        <v>143</v>
      </c>
      <c r="C14" s="198">
        <f ca="1">INDIRECT($D$6&amp;"!E85")</f>
        <v>11695.388640000001</v>
      </c>
    </row>
    <row r="15" spans="2:9" ht="26.25" thickBot="1" x14ac:dyDescent="0.25">
      <c r="B15" s="204" t="s">
        <v>127</v>
      </c>
      <c r="C15" s="199">
        <f ca="1">C13-C14</f>
        <v>0</v>
      </c>
    </row>
    <row r="16" spans="2:9" ht="7.9" customHeight="1" x14ac:dyDescent="0.2"/>
    <row r="17" spans="2:10" ht="15" customHeight="1" thickBot="1" x14ac:dyDescent="0.25">
      <c r="B17" s="367" t="s">
        <v>134</v>
      </c>
      <c r="F17" s="205" t="s">
        <v>128</v>
      </c>
      <c r="G17" s="206"/>
    </row>
    <row r="18" spans="2:10" ht="15" customHeight="1" x14ac:dyDescent="0.2">
      <c r="B18" s="275" t="s">
        <v>16</v>
      </c>
      <c r="C18" s="186"/>
      <c r="D18" s="42" t="s">
        <v>109</v>
      </c>
      <c r="F18" s="200" t="s">
        <v>14</v>
      </c>
      <c r="G18" s="201">
        <f ca="1">INDIRECT($D$6&amp;"!E61")</f>
        <v>76.73</v>
      </c>
    </row>
    <row r="19" spans="2:10" ht="15" customHeight="1" x14ac:dyDescent="0.2">
      <c r="B19" s="22" t="s">
        <v>108</v>
      </c>
      <c r="C19" s="10" t="s">
        <v>18</v>
      </c>
      <c r="D19" s="94">
        <f ca="1">INDIRECT($D$6&amp;"!D26")</f>
        <v>27446</v>
      </c>
      <c r="F19" s="133" t="s">
        <v>15</v>
      </c>
      <c r="G19" s="202">
        <f ca="1">INDIRECT($D$6&amp;"!E62")</f>
        <v>0</v>
      </c>
    </row>
    <row r="20" spans="2:10" ht="15" customHeight="1" x14ac:dyDescent="0.2">
      <c r="B20" s="22" t="s">
        <v>129</v>
      </c>
      <c r="C20" s="10" t="s">
        <v>24</v>
      </c>
      <c r="D20" s="192">
        <f ca="1">INDIRECT($D$6&amp;"!D35")</f>
        <v>2977.61654</v>
      </c>
      <c r="F20" s="133" t="s">
        <v>116</v>
      </c>
      <c r="G20" s="202">
        <f ca="1">INDIRECT($D$6&amp;"!E63")</f>
        <v>42.2</v>
      </c>
    </row>
    <row r="21" spans="2:10" ht="15" customHeight="1" thickBot="1" x14ac:dyDescent="0.25">
      <c r="B21" s="22" t="s">
        <v>136</v>
      </c>
      <c r="C21" s="10" t="s">
        <v>18</v>
      </c>
      <c r="D21" s="94">
        <f ca="1">INDIRECT($D$6&amp;"!E72")</f>
        <v>15671</v>
      </c>
      <c r="F21" s="52" t="s">
        <v>75</v>
      </c>
      <c r="G21" s="203">
        <f ca="1">INDIRECT($D$6&amp;"!E73")</f>
        <v>108.49</v>
      </c>
    </row>
    <row r="22" spans="2:10" ht="15" customHeight="1" x14ac:dyDescent="0.2">
      <c r="B22" s="22" t="s">
        <v>137</v>
      </c>
      <c r="C22" s="10" t="s">
        <v>24</v>
      </c>
      <c r="D22" s="192">
        <f ca="1">INDIRECT($D$6&amp;"!E75")</f>
        <v>1700.1467899999998</v>
      </c>
    </row>
    <row r="23" spans="2:10" ht="15" customHeight="1" thickBot="1" x14ac:dyDescent="0.25">
      <c r="B23" s="187" t="s">
        <v>144</v>
      </c>
      <c r="C23" s="188" t="s">
        <v>24</v>
      </c>
      <c r="D23" s="193">
        <f ca="1">INDIRECT($D$6&amp;"!E76")</f>
        <v>1277.4697500000002</v>
      </c>
    </row>
    <row r="24" spans="2:10" ht="7.9" customHeight="1" x14ac:dyDescent="0.2"/>
    <row r="25" spans="2:10" ht="16.5" thickBot="1" x14ac:dyDescent="0.25">
      <c r="B25" s="367" t="s">
        <v>135</v>
      </c>
      <c r="F25" s="367" t="s">
        <v>165</v>
      </c>
    </row>
    <row r="26" spans="2:10" ht="15" customHeight="1" x14ac:dyDescent="0.2">
      <c r="B26" s="278" t="s">
        <v>16</v>
      </c>
      <c r="C26" s="190"/>
      <c r="D26" s="191" t="s">
        <v>109</v>
      </c>
      <c r="F26" s="459" t="s">
        <v>163</v>
      </c>
      <c r="G26" s="459"/>
      <c r="H26" s="234">
        <f>HLOOKUP($D$6,'Neodvisne spremenljivke'!$D$7:D12,4)</f>
        <v>2668</v>
      </c>
      <c r="J26" s="365"/>
    </row>
    <row r="27" spans="2:10" ht="15" customHeight="1" x14ac:dyDescent="0.2">
      <c r="B27" s="132" t="s">
        <v>129</v>
      </c>
      <c r="C27" s="16" t="s">
        <v>24</v>
      </c>
      <c r="D27" s="118">
        <f ca="1">INDIRECT($D$6&amp;"!D37")</f>
        <v>2193</v>
      </c>
      <c r="F27" s="459" t="s">
        <v>164</v>
      </c>
      <c r="G27" s="459"/>
      <c r="H27" s="234">
        <f>HLOOKUP($D$6,'Neodvisne spremenljivke'!$D$7:D13,5)</f>
        <v>0</v>
      </c>
    </row>
    <row r="28" spans="2:10" ht="15" customHeight="1" x14ac:dyDescent="0.2">
      <c r="B28" s="132" t="s">
        <v>78</v>
      </c>
      <c r="C28" s="16" t="s">
        <v>24</v>
      </c>
      <c r="D28" s="118">
        <f ca="1">INDIRECT($D$6&amp;"!E80")</f>
        <v>0</v>
      </c>
      <c r="F28" s="460" t="s">
        <v>161</v>
      </c>
      <c r="G28" s="460"/>
      <c r="H28" s="290">
        <f>HLOOKUP($D$6,'Neodvisne spremenljivke'!$D$7:D14,6)</f>
        <v>1</v>
      </c>
    </row>
    <row r="29" spans="2:10" ht="15" customHeight="1" thickBot="1" x14ac:dyDescent="0.25">
      <c r="B29" s="194" t="s">
        <v>86</v>
      </c>
      <c r="C29" s="195" t="s">
        <v>24</v>
      </c>
      <c r="D29" s="196">
        <f ca="1">INDIRECT($D$6&amp;"!E81")</f>
        <v>2193</v>
      </c>
      <c r="F29" s="461"/>
      <c r="G29" s="461"/>
      <c r="H29" s="234"/>
    </row>
    <row r="30" spans="2:10" ht="15" customHeight="1" x14ac:dyDescent="0.2">
      <c r="F30" s="461"/>
      <c r="G30" s="461"/>
      <c r="H30" s="234"/>
    </row>
    <row r="31" spans="2:10" ht="15" customHeight="1" x14ac:dyDescent="0.2">
      <c r="F31" s="460"/>
      <c r="G31" s="460"/>
      <c r="H31" s="290"/>
    </row>
    <row r="32" spans="2:10" ht="7.9" customHeight="1" x14ac:dyDescent="0.2"/>
    <row r="33" spans="2:8" ht="7.9" customHeight="1" x14ac:dyDescent="0.25">
      <c r="B33" s="368"/>
      <c r="C33" s="368"/>
      <c r="D33" s="368"/>
    </row>
    <row r="34" spans="2:8" ht="16.5" thickBot="1" x14ac:dyDescent="0.25">
      <c r="B34" s="367" t="s">
        <v>133</v>
      </c>
    </row>
    <row r="35" spans="2:8" ht="15" customHeight="1" thickBot="1" x14ac:dyDescent="0.25">
      <c r="B35" s="457" t="s">
        <v>13</v>
      </c>
      <c r="C35" s="458"/>
      <c r="D35" s="174" t="s">
        <v>109</v>
      </c>
      <c r="E35" s="174" t="s">
        <v>111</v>
      </c>
      <c r="F35" s="174" t="s">
        <v>110</v>
      </c>
      <c r="G35" s="174" t="s">
        <v>112</v>
      </c>
      <c r="H35" s="175" t="s">
        <v>114</v>
      </c>
    </row>
    <row r="36" spans="2:8" ht="15" customHeight="1" x14ac:dyDescent="0.2">
      <c r="B36" s="176" t="s">
        <v>113</v>
      </c>
      <c r="C36" s="177"/>
      <c r="D36" s="177"/>
      <c r="E36" s="177"/>
      <c r="F36" s="177"/>
      <c r="G36" s="177"/>
      <c r="H36" s="178"/>
    </row>
    <row r="37" spans="2:8" ht="15" customHeight="1" x14ac:dyDescent="0.2">
      <c r="B37" s="20" t="s">
        <v>14</v>
      </c>
      <c r="C37" s="15" t="s">
        <v>18</v>
      </c>
      <c r="D37" s="90">
        <f ca="1">INDIRECT($D$6&amp;"!D14")</f>
        <v>107193</v>
      </c>
      <c r="E37" s="90">
        <f ca="1">INDIRECT($D$6&amp;"!D15")</f>
        <v>107193</v>
      </c>
      <c r="F37" s="90">
        <f ca="1">INDIRECT($D$6&amp;"!D16")</f>
        <v>0</v>
      </c>
      <c r="G37" s="90">
        <f ca="1">INDIRECT($D$6&amp;"!D17")</f>
        <v>0</v>
      </c>
      <c r="H37" s="91">
        <f ca="1">INDIRECT($D$6&amp;"!D18")</f>
        <v>0</v>
      </c>
    </row>
    <row r="38" spans="2:8" ht="15" customHeight="1" thickBot="1" x14ac:dyDescent="0.25">
      <c r="B38" s="179" t="s">
        <v>129</v>
      </c>
      <c r="C38" s="171" t="s">
        <v>24</v>
      </c>
      <c r="D38" s="180">
        <f ca="1">INDIRECT($D$6&amp;"!D22")+INDIRECT($D$6&amp;"!D34")</f>
        <v>8224.9188900000008</v>
      </c>
      <c r="E38" s="172"/>
      <c r="F38" s="172"/>
      <c r="G38" s="172"/>
      <c r="H38" s="173"/>
    </row>
    <row r="39" spans="2:8" ht="15" customHeight="1" x14ac:dyDescent="0.2">
      <c r="B39" s="449" t="s">
        <v>121</v>
      </c>
      <c r="C39" s="450"/>
      <c r="D39" s="450"/>
      <c r="E39" s="450"/>
      <c r="F39" s="450"/>
      <c r="G39" s="450"/>
      <c r="H39" s="451"/>
    </row>
    <row r="40" spans="2:8" ht="15" customHeight="1" x14ac:dyDescent="0.2">
      <c r="B40" s="20" t="s">
        <v>14</v>
      </c>
      <c r="C40" s="15" t="s">
        <v>18</v>
      </c>
      <c r="D40" s="90">
        <f ca="1">INDIRECT($D$6&amp;"!E58")</f>
        <v>0</v>
      </c>
      <c r="E40" s="90">
        <f ca="1">INDIRECT($D$6&amp;"!C92")</f>
        <v>0</v>
      </c>
      <c r="F40" s="90">
        <f ca="1">INDIRECT($D$6&amp;"!D92")</f>
        <v>0</v>
      </c>
      <c r="G40" s="90">
        <f ca="1">INDIRECT($D$6&amp;"!E92")</f>
        <v>0</v>
      </c>
      <c r="H40" s="91">
        <f ca="1">INDIRECT($D$6&amp;"!F92")</f>
        <v>0</v>
      </c>
    </row>
    <row r="41" spans="2:8" ht="15" customHeight="1" x14ac:dyDescent="0.2">
      <c r="B41" s="20" t="s">
        <v>15</v>
      </c>
      <c r="C41" s="15" t="s">
        <v>18</v>
      </c>
      <c r="D41" s="90">
        <f ca="1">INDIRECT($D$6&amp;"!E59")</f>
        <v>0</v>
      </c>
      <c r="E41" s="90">
        <f ca="1">INDIRECT($D$6&amp;"!C93")</f>
        <v>0</v>
      </c>
      <c r="F41" s="90">
        <f ca="1">INDIRECT($D$6&amp;"!D93")</f>
        <v>0</v>
      </c>
      <c r="G41" s="90">
        <f ca="1">INDIRECT($D$6&amp;"!E93")</f>
        <v>0</v>
      </c>
      <c r="H41" s="91">
        <f ca="1">INDIRECT($D$6&amp;"!F93")</f>
        <v>0</v>
      </c>
    </row>
    <row r="42" spans="2:8" ht="15" customHeight="1" x14ac:dyDescent="0.2">
      <c r="B42" s="20" t="s">
        <v>116</v>
      </c>
      <c r="C42" s="15" t="s">
        <v>18</v>
      </c>
      <c r="D42" s="90">
        <f ca="1">INDIRECT($D$6&amp;"!E60")</f>
        <v>0</v>
      </c>
      <c r="E42" s="90">
        <f ca="1">INDIRECT($D$6&amp;"!C94")</f>
        <v>0</v>
      </c>
      <c r="F42" s="90">
        <f ca="1">INDIRECT($D$6&amp;"!D94")</f>
        <v>0</v>
      </c>
      <c r="G42" s="90">
        <f ca="1">INDIRECT($D$6&amp;"!E94")</f>
        <v>0</v>
      </c>
      <c r="H42" s="91">
        <f ca="1">INDIRECT($D$6&amp;"!F94")</f>
        <v>0</v>
      </c>
    </row>
    <row r="43" spans="2:8" ht="15" customHeight="1" x14ac:dyDescent="0.2">
      <c r="B43" s="13" t="s">
        <v>125</v>
      </c>
      <c r="C43" s="6" t="s">
        <v>24</v>
      </c>
      <c r="D43" s="169">
        <f ca="1">INDIRECT($D$6&amp;"!E67")</f>
        <v>0</v>
      </c>
      <c r="E43" s="168"/>
      <c r="F43" s="168"/>
      <c r="G43" s="168"/>
      <c r="H43" s="170"/>
    </row>
    <row r="44" spans="2:8" ht="15" customHeight="1" thickBot="1" x14ac:dyDescent="0.25">
      <c r="B44" s="179" t="s">
        <v>72</v>
      </c>
      <c r="C44" s="171" t="s">
        <v>24</v>
      </c>
      <c r="D44" s="180">
        <f ca="1">INDIRECT($D$6&amp;"!E68")</f>
        <v>8224.9188900000008</v>
      </c>
      <c r="E44" s="172"/>
      <c r="F44" s="172"/>
      <c r="G44" s="172"/>
      <c r="H44" s="173"/>
    </row>
    <row r="45" spans="2:8" ht="15" customHeight="1" x14ac:dyDescent="0.2">
      <c r="B45" s="449" t="s">
        <v>122</v>
      </c>
      <c r="C45" s="450"/>
      <c r="D45" s="450"/>
      <c r="E45" s="450"/>
      <c r="F45" s="450"/>
      <c r="G45" s="450"/>
      <c r="H45" s="451"/>
    </row>
    <row r="46" spans="2:8" ht="15" customHeight="1" x14ac:dyDescent="0.2">
      <c r="B46" s="20" t="s">
        <v>14</v>
      </c>
      <c r="C46" s="15" t="s">
        <v>18</v>
      </c>
      <c r="D46" s="90">
        <f>SUM(E46:H46)</f>
        <v>0</v>
      </c>
      <c r="E46" s="316"/>
      <c r="F46" s="316"/>
      <c r="G46" s="316"/>
      <c r="H46" s="315"/>
    </row>
    <row r="47" spans="2:8" ht="15" customHeight="1" x14ac:dyDescent="0.2">
      <c r="B47" s="20" t="s">
        <v>15</v>
      </c>
      <c r="C47" s="15" t="s">
        <v>18</v>
      </c>
      <c r="D47" s="90">
        <f t="shared" ref="D47:D48" si="0">SUM(E47:H47)</f>
        <v>0</v>
      </c>
      <c r="E47" s="316"/>
      <c r="F47" s="316"/>
      <c r="G47" s="316"/>
      <c r="H47" s="315"/>
    </row>
    <row r="48" spans="2:8" ht="15" customHeight="1" x14ac:dyDescent="0.2">
      <c r="B48" s="20" t="s">
        <v>116</v>
      </c>
      <c r="C48" s="15" t="s">
        <v>18</v>
      </c>
      <c r="D48" s="90">
        <f t="shared" si="0"/>
        <v>0</v>
      </c>
      <c r="E48" s="316"/>
      <c r="F48" s="316"/>
      <c r="G48" s="316"/>
      <c r="H48" s="315"/>
    </row>
    <row r="49" spans="2:11" ht="15" customHeight="1" x14ac:dyDescent="0.2">
      <c r="B49" s="13" t="s">
        <v>131</v>
      </c>
      <c r="C49" s="6" t="s">
        <v>24</v>
      </c>
      <c r="D49" s="169">
        <f ca="1">D46*G18/1000+D47*G19/1000+D48*G20/1000</f>
        <v>0</v>
      </c>
      <c r="E49" s="168"/>
      <c r="F49" s="168"/>
      <c r="G49" s="168"/>
      <c r="H49" s="170"/>
    </row>
    <row r="50" spans="2:11" ht="15" customHeight="1" thickBot="1" x14ac:dyDescent="0.25">
      <c r="B50" s="179" t="s">
        <v>130</v>
      </c>
      <c r="C50" s="171" t="s">
        <v>24</v>
      </c>
      <c r="D50" s="180">
        <f ca="1">D38-D49</f>
        <v>8224.9188900000008</v>
      </c>
      <c r="E50" s="172"/>
      <c r="F50" s="172"/>
      <c r="G50" s="172"/>
      <c r="H50" s="173"/>
    </row>
    <row r="51" spans="2:11" ht="15" customHeight="1" x14ac:dyDescent="0.2">
      <c r="B51" s="449" t="s">
        <v>212</v>
      </c>
      <c r="C51" s="450"/>
      <c r="D51" s="450"/>
      <c r="E51" s="450"/>
      <c r="F51" s="450"/>
      <c r="G51" s="450"/>
      <c r="H51" s="451"/>
      <c r="I51" s="293"/>
    </row>
    <row r="52" spans="2:11" ht="15" customHeight="1" x14ac:dyDescent="0.2">
      <c r="B52" s="20" t="s">
        <v>123</v>
      </c>
      <c r="C52" s="15" t="s">
        <v>17</v>
      </c>
      <c r="D52" s="168"/>
      <c r="E52" s="288">
        <f>HLOOKUP($D$6,'Neodvisne spremenljivke'!D7:D12,6)</f>
        <v>1</v>
      </c>
      <c r="F52" s="288">
        <v>1</v>
      </c>
      <c r="G52" s="288">
        <f>HLOOKUP($D$6,'Neodvisne spremenljivke'!D7:D12,6)</f>
        <v>1</v>
      </c>
      <c r="H52" s="401">
        <v>1</v>
      </c>
      <c r="K52" s="365"/>
    </row>
    <row r="53" spans="2:11" ht="15" customHeight="1" x14ac:dyDescent="0.2">
      <c r="B53" s="20" t="s">
        <v>14</v>
      </c>
      <c r="C53" s="15" t="s">
        <v>18</v>
      </c>
      <c r="D53" s="90">
        <f>SUM(E53:H53)</f>
        <v>0</v>
      </c>
      <c r="E53" s="90">
        <f>E46*E$52</f>
        <v>0</v>
      </c>
      <c r="F53" s="90">
        <f t="shared" ref="F53:H53" si="1">F46*F$52</f>
        <v>0</v>
      </c>
      <c r="G53" s="90">
        <f>G46*G$52</f>
        <v>0</v>
      </c>
      <c r="H53" s="91">
        <f t="shared" si="1"/>
        <v>0</v>
      </c>
      <c r="K53" s="366"/>
    </row>
    <row r="54" spans="2:11" ht="15" customHeight="1" x14ac:dyDescent="0.2">
      <c r="B54" s="20" t="s">
        <v>15</v>
      </c>
      <c r="C54" s="15" t="s">
        <v>18</v>
      </c>
      <c r="D54" s="90">
        <f t="shared" ref="D54:D55" si="2">SUM(E54:H54)</f>
        <v>0</v>
      </c>
      <c r="E54" s="90">
        <f t="shared" ref="E54:H55" si="3">E47*E$52</f>
        <v>0</v>
      </c>
      <c r="F54" s="90">
        <f t="shared" si="3"/>
        <v>0</v>
      </c>
      <c r="G54" s="90">
        <f t="shared" si="3"/>
        <v>0</v>
      </c>
      <c r="H54" s="91">
        <f t="shared" si="3"/>
        <v>0</v>
      </c>
      <c r="K54" s="366"/>
    </row>
    <row r="55" spans="2:11" ht="15" customHeight="1" thickBot="1" x14ac:dyDescent="0.25">
      <c r="B55" s="20" t="s">
        <v>116</v>
      </c>
      <c r="C55" s="15" t="s">
        <v>18</v>
      </c>
      <c r="D55" s="90">
        <f t="shared" si="2"/>
        <v>0</v>
      </c>
      <c r="E55" s="90">
        <f>E48*E$52</f>
        <v>0</v>
      </c>
      <c r="F55" s="90">
        <f t="shared" si="3"/>
        <v>0</v>
      </c>
      <c r="G55" s="90">
        <f t="shared" si="3"/>
        <v>0</v>
      </c>
      <c r="H55" s="91">
        <f t="shared" si="3"/>
        <v>0</v>
      </c>
      <c r="K55" s="366"/>
    </row>
    <row r="56" spans="2:11" ht="15" customHeight="1" x14ac:dyDescent="0.2">
      <c r="B56" s="449" t="s">
        <v>221</v>
      </c>
      <c r="C56" s="450"/>
      <c r="D56" s="450"/>
      <c r="E56" s="450"/>
      <c r="F56" s="450"/>
      <c r="G56" s="450"/>
      <c r="H56" s="451"/>
      <c r="I56" s="293"/>
    </row>
    <row r="57" spans="2:11" ht="15" customHeight="1" x14ac:dyDescent="0.2">
      <c r="B57" s="20" t="s">
        <v>14</v>
      </c>
      <c r="C57" s="15" t="s">
        <v>18</v>
      </c>
      <c r="D57" s="90">
        <f>SUM(E57:H57)</f>
        <v>0</v>
      </c>
      <c r="E57" s="402">
        <v>0</v>
      </c>
      <c r="F57" s="402">
        <v>0</v>
      </c>
      <c r="G57" s="402">
        <v>0</v>
      </c>
      <c r="H57" s="403">
        <v>0</v>
      </c>
      <c r="K57" s="366"/>
    </row>
    <row r="58" spans="2:11" ht="15" customHeight="1" x14ac:dyDescent="0.2">
      <c r="B58" s="20" t="s">
        <v>15</v>
      </c>
      <c r="C58" s="15" t="s">
        <v>18</v>
      </c>
      <c r="D58" s="90">
        <f t="shared" ref="D58:D59" si="4">SUM(E58:H58)</f>
        <v>0</v>
      </c>
      <c r="E58" s="402">
        <v>0</v>
      </c>
      <c r="F58" s="402">
        <v>0</v>
      </c>
      <c r="G58" s="402">
        <v>0</v>
      </c>
      <c r="H58" s="403">
        <v>0</v>
      </c>
      <c r="K58" s="366"/>
    </row>
    <row r="59" spans="2:11" ht="15" customHeight="1" x14ac:dyDescent="0.2">
      <c r="B59" s="20" t="s">
        <v>116</v>
      </c>
      <c r="C59" s="15" t="s">
        <v>18</v>
      </c>
      <c r="D59" s="90">
        <f t="shared" si="4"/>
        <v>0</v>
      </c>
      <c r="E59" s="402">
        <v>0</v>
      </c>
      <c r="F59" s="402">
        <v>0</v>
      </c>
      <c r="G59" s="402">
        <v>0</v>
      </c>
      <c r="H59" s="403">
        <v>0</v>
      </c>
      <c r="K59" s="366"/>
    </row>
    <row r="60" spans="2:11" ht="15" customHeight="1" x14ac:dyDescent="0.2">
      <c r="B60" s="452" t="s">
        <v>124</v>
      </c>
      <c r="C60" s="453"/>
      <c r="D60" s="453"/>
      <c r="E60" s="453"/>
      <c r="F60" s="453"/>
      <c r="G60" s="453"/>
      <c r="H60" s="454"/>
      <c r="K60" s="365"/>
    </row>
    <row r="61" spans="2:11" ht="15" customHeight="1" x14ac:dyDescent="0.2">
      <c r="B61" s="20" t="s">
        <v>14</v>
      </c>
      <c r="C61" s="15" t="s">
        <v>18</v>
      </c>
      <c r="D61" s="90">
        <f>D46+D53</f>
        <v>0</v>
      </c>
      <c r="E61" s="168"/>
      <c r="F61" s="168"/>
      <c r="G61" s="168"/>
      <c r="H61" s="170"/>
    </row>
    <row r="62" spans="2:11" ht="15" customHeight="1" x14ac:dyDescent="0.2">
      <c r="B62" s="20" t="s">
        <v>15</v>
      </c>
      <c r="C62" s="15" t="s">
        <v>18</v>
      </c>
      <c r="D62" s="90">
        <f>D47+D54</f>
        <v>0</v>
      </c>
      <c r="E62" s="168"/>
      <c r="F62" s="168"/>
      <c r="G62" s="168"/>
      <c r="H62" s="170"/>
    </row>
    <row r="63" spans="2:11" ht="15" customHeight="1" x14ac:dyDescent="0.2">
      <c r="B63" s="20" t="s">
        <v>116</v>
      </c>
      <c r="C63" s="15" t="s">
        <v>18</v>
      </c>
      <c r="D63" s="90">
        <f>D48+D55</f>
        <v>0</v>
      </c>
      <c r="E63" s="168"/>
      <c r="F63" s="168"/>
      <c r="G63" s="168"/>
      <c r="H63" s="170"/>
    </row>
    <row r="64" spans="2:11" ht="15" customHeight="1" x14ac:dyDescent="0.2">
      <c r="B64" s="13" t="s">
        <v>126</v>
      </c>
      <c r="C64" s="6" t="s">
        <v>24</v>
      </c>
      <c r="D64" s="169">
        <f ca="1">D61*G18/1000+D62*G19/1000+D63*G20/1000</f>
        <v>0</v>
      </c>
      <c r="E64" s="168"/>
      <c r="F64" s="168"/>
      <c r="G64" s="168"/>
      <c r="H64" s="170"/>
    </row>
    <row r="65" spans="2:8" ht="15" customHeight="1" thickBot="1" x14ac:dyDescent="0.25">
      <c r="B65" s="179" t="s">
        <v>132</v>
      </c>
      <c r="C65" s="171" t="s">
        <v>24</v>
      </c>
      <c r="D65" s="180">
        <f ca="1">D38-D64</f>
        <v>8224.9188900000008</v>
      </c>
      <c r="E65" s="172"/>
      <c r="F65" s="172"/>
      <c r="G65" s="172"/>
      <c r="H65" s="173"/>
    </row>
    <row r="66" spans="2:8" ht="30" customHeight="1" thickBot="1" x14ac:dyDescent="0.25">
      <c r="B66" s="181" t="s">
        <v>127</v>
      </c>
      <c r="C66" s="174" t="s">
        <v>24</v>
      </c>
      <c r="D66" s="182">
        <f ca="1">D65-D44</f>
        <v>0</v>
      </c>
      <c r="E66" s="183"/>
      <c r="F66" s="183"/>
      <c r="G66" s="183"/>
      <c r="H66" s="184"/>
    </row>
  </sheetData>
  <mergeCells count="15">
    <mergeCell ref="F28:G28"/>
    <mergeCell ref="B5:C5"/>
    <mergeCell ref="B6:C6"/>
    <mergeCell ref="B7:C7"/>
    <mergeCell ref="F26:G26"/>
    <mergeCell ref="F27:G27"/>
    <mergeCell ref="B51:H51"/>
    <mergeCell ref="B56:H56"/>
    <mergeCell ref="B60:H60"/>
    <mergeCell ref="F29:G29"/>
    <mergeCell ref="F30:G30"/>
    <mergeCell ref="F31:G31"/>
    <mergeCell ref="B35:C35"/>
    <mergeCell ref="B39:H39"/>
    <mergeCell ref="B45:H45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DCAE7B-7A7B-4450-B5CB-383289BDF325}">
          <x14:formula1>
            <xm:f>'Osnovni podatki'!$B$6:$B$15</xm:f>
          </x14:formula1>
          <xm:sqref>D5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39"/>
  <sheetViews>
    <sheetView zoomScaleNormal="100" workbookViewId="0">
      <selection activeCell="I14" sqref="I14"/>
    </sheetView>
  </sheetViews>
  <sheetFormatPr defaultColWidth="25.140625" defaultRowHeight="12.75" x14ac:dyDescent="0.2"/>
  <cols>
    <col min="1" max="16384" width="25.140625" style="340"/>
  </cols>
  <sheetData>
    <row r="2" spans="2:6" ht="16.5" thickBot="1" x14ac:dyDescent="0.25">
      <c r="B2" s="364" t="s">
        <v>146</v>
      </c>
    </row>
    <row r="3" spans="2:6" x14ac:dyDescent="0.2">
      <c r="B3" s="208"/>
      <c r="C3" s="228" t="s">
        <v>147</v>
      </c>
      <c r="D3" s="228" t="s">
        <v>225</v>
      </c>
      <c r="E3" s="235" t="s">
        <v>100</v>
      </c>
    </row>
    <row r="4" spans="2:6" x14ac:dyDescent="0.2">
      <c r="B4" s="342" t="s">
        <v>139</v>
      </c>
      <c r="C4" s="361">
        <f ca="1">INDIRECT(C$3&amp;"!C10")</f>
        <v>164904.81661000001</v>
      </c>
      <c r="D4" s="410">
        <f ca="1">INDIRECT(D$3&amp;"!C10")</f>
        <v>8224.9188900000008</v>
      </c>
      <c r="E4" s="362"/>
    </row>
    <row r="5" spans="2:6" x14ac:dyDescent="0.2">
      <c r="B5" s="342" t="s">
        <v>140</v>
      </c>
      <c r="C5" s="361">
        <f ca="1">INDIRECT(C$3&amp;"!C11")</f>
        <v>0</v>
      </c>
      <c r="D5" s="410">
        <f ca="1">INDIRECT(D$3&amp;"!C11")</f>
        <v>1277.4697500000002</v>
      </c>
      <c r="E5" s="362"/>
    </row>
    <row r="6" spans="2:6" x14ac:dyDescent="0.2">
      <c r="B6" s="342" t="s">
        <v>141</v>
      </c>
      <c r="C6" s="361">
        <f ca="1">INDIRECT(C$3&amp;"!C12")</f>
        <v>37455</v>
      </c>
      <c r="D6" s="410">
        <f ca="1">INDIRECT(D$3&amp;"!C12")</f>
        <v>2193</v>
      </c>
      <c r="E6" s="362"/>
    </row>
    <row r="7" spans="2:6" x14ac:dyDescent="0.2">
      <c r="B7" s="342" t="s">
        <v>142</v>
      </c>
      <c r="C7" s="361">
        <f ca="1">INDIRECT(C$3&amp;"!C13")</f>
        <v>202359.81661000001</v>
      </c>
      <c r="D7" s="410">
        <f ca="1">INDIRECT(D$3&amp;"!C13")</f>
        <v>11695.388640000001</v>
      </c>
      <c r="E7" s="412">
        <f ca="1">SUM('Presežni prihranki'!C7:D7)</f>
        <v>214055.20525</v>
      </c>
    </row>
    <row r="8" spans="2:6" x14ac:dyDescent="0.2">
      <c r="B8" s="342" t="s">
        <v>214</v>
      </c>
      <c r="C8" s="361">
        <f ca="1">INDIRECT(C$3&amp;"!C14")</f>
        <v>202359.81661000001</v>
      </c>
      <c r="D8" s="410">
        <f ca="1">INDIRECT(D$3&amp;"!C14")</f>
        <v>11695.388640000001</v>
      </c>
      <c r="E8" s="412">
        <f ca="1">SUM(C8:D8)</f>
        <v>214055.20525</v>
      </c>
    </row>
    <row r="9" spans="2:6" ht="30" customHeight="1" thickBot="1" x14ac:dyDescent="0.25">
      <c r="B9" s="204" t="s">
        <v>127</v>
      </c>
      <c r="C9" s="363">
        <f ca="1">INDIRECT(C$3&amp;"!C15")</f>
        <v>0</v>
      </c>
      <c r="D9" s="411">
        <f ca="1">INDIRECT(D$3&amp;"!C15")</f>
        <v>0</v>
      </c>
      <c r="E9" s="413">
        <f ca="1">SUM(C9:D9)</f>
        <v>0</v>
      </c>
    </row>
    <row r="12" spans="2:6" ht="15" customHeight="1" x14ac:dyDescent="0.2"/>
    <row r="13" spans="2:6" ht="16.5" thickBot="1" x14ac:dyDescent="0.25">
      <c r="B13" s="343" t="s">
        <v>155</v>
      </c>
    </row>
    <row r="14" spans="2:6" ht="45" customHeight="1" x14ac:dyDescent="0.2">
      <c r="B14" s="462" t="s">
        <v>151</v>
      </c>
      <c r="C14" s="463"/>
      <c r="D14" s="344" t="s">
        <v>166</v>
      </c>
      <c r="E14" s="372" t="s">
        <v>148</v>
      </c>
      <c r="F14" s="345" t="s">
        <v>149</v>
      </c>
    </row>
    <row r="15" spans="2:6" x14ac:dyDescent="0.2">
      <c r="B15" s="346" t="s">
        <v>154</v>
      </c>
      <c r="C15" s="347">
        <v>5.0000000000000001E-3</v>
      </c>
      <c r="D15" s="348"/>
      <c r="E15" s="348"/>
      <c r="F15" s="349"/>
    </row>
    <row r="16" spans="2:6" x14ac:dyDescent="0.2">
      <c r="B16" s="350" t="s">
        <v>152</v>
      </c>
      <c r="C16" s="351" t="s">
        <v>153</v>
      </c>
      <c r="D16" s="351"/>
      <c r="E16" s="351" t="s">
        <v>150</v>
      </c>
      <c r="F16" s="352" t="s">
        <v>24</v>
      </c>
    </row>
    <row r="17" spans="2:6" x14ac:dyDescent="0.2">
      <c r="B17" s="353">
        <v>0</v>
      </c>
      <c r="C17" s="354">
        <f ca="1">ROUND(E8*C15,-1)</f>
        <v>1070</v>
      </c>
      <c r="D17" s="354">
        <f>ROUND(B17*0.5,-1)</f>
        <v>0</v>
      </c>
      <c r="E17" s="355">
        <f ca="1">IF(AND($E$9&gt;=B17,$E$9&lt;=C17),1,0)</f>
        <v>1</v>
      </c>
      <c r="F17" s="356">
        <f ca="1">D17*E17</f>
        <v>0</v>
      </c>
    </row>
    <row r="18" spans="2:6" x14ac:dyDescent="0.2">
      <c r="B18" s="353">
        <f ca="1">C17+0.01</f>
        <v>1070.01</v>
      </c>
      <c r="C18" s="354">
        <f ca="1">C17+$C$17</f>
        <v>2140</v>
      </c>
      <c r="D18" s="354">
        <f ca="1">ROUND(B18*0.5,-1)</f>
        <v>540</v>
      </c>
      <c r="E18" s="355">
        <f ca="1">IF(AND($E$9&gt;=B18,$E$9&lt;=C18),1,0)</f>
        <v>0</v>
      </c>
      <c r="F18" s="356">
        <f t="shared" ref="F18:F38" ca="1" si="0">D18*E18</f>
        <v>0</v>
      </c>
    </row>
    <row r="19" spans="2:6" x14ac:dyDescent="0.2">
      <c r="B19" s="353">
        <f t="shared" ref="B19:B39" ca="1" si="1">C18+0.01</f>
        <v>2140.0100000000002</v>
      </c>
      <c r="C19" s="354">
        <f ca="1">C18+$C$17</f>
        <v>3210</v>
      </c>
      <c r="D19" s="354">
        <f t="shared" ref="D18:D38" ca="1" si="2">ROUND(B19*0.5,-1)</f>
        <v>1070</v>
      </c>
      <c r="E19" s="355">
        <f ca="1">IF(AND($E$9&gt;=B19,$E$9&lt;=C19),1,0)</f>
        <v>0</v>
      </c>
      <c r="F19" s="356">
        <f t="shared" ca="1" si="0"/>
        <v>0</v>
      </c>
    </row>
    <row r="20" spans="2:6" x14ac:dyDescent="0.2">
      <c r="B20" s="353">
        <f t="shared" ca="1" si="1"/>
        <v>3210.01</v>
      </c>
      <c r="C20" s="354">
        <f ca="1">C19+$C$17</f>
        <v>4280</v>
      </c>
      <c r="D20" s="354">
        <f t="shared" ca="1" si="2"/>
        <v>1610</v>
      </c>
      <c r="E20" s="355">
        <f ca="1">IF(AND($E$9&gt;=B20,$E$9&lt;=C20),1,0)</f>
        <v>0</v>
      </c>
      <c r="F20" s="356">
        <f t="shared" ca="1" si="0"/>
        <v>0</v>
      </c>
    </row>
    <row r="21" spans="2:6" x14ac:dyDescent="0.2">
      <c r="B21" s="353">
        <f t="shared" ca="1" si="1"/>
        <v>4280.01</v>
      </c>
      <c r="C21" s="354">
        <f ca="1">C20+$C$17</f>
        <v>5350</v>
      </c>
      <c r="D21" s="354">
        <f t="shared" ca="1" si="2"/>
        <v>2140</v>
      </c>
      <c r="E21" s="355">
        <f ca="1">IF(AND($E$9&gt;=B21,$E$9&lt;=C21),1,0)</f>
        <v>0</v>
      </c>
      <c r="F21" s="356">
        <f t="shared" ca="1" si="0"/>
        <v>0</v>
      </c>
    </row>
    <row r="22" spans="2:6" x14ac:dyDescent="0.2">
      <c r="B22" s="353">
        <f t="shared" ca="1" si="1"/>
        <v>5350.01</v>
      </c>
      <c r="C22" s="354">
        <f t="shared" ref="C22:C38" ca="1" si="3">C21+$C$17</f>
        <v>6420</v>
      </c>
      <c r="D22" s="354">
        <f t="shared" ca="1" si="2"/>
        <v>2680</v>
      </c>
      <c r="E22" s="355">
        <f t="shared" ref="E22:E38" ca="1" si="4">IF(AND($E$9&gt;=B22,$E$9&lt;=C22),1,0)</f>
        <v>0</v>
      </c>
      <c r="F22" s="356">
        <f t="shared" ca="1" si="0"/>
        <v>0</v>
      </c>
    </row>
    <row r="23" spans="2:6" x14ac:dyDescent="0.2">
      <c r="B23" s="353">
        <f t="shared" ca="1" si="1"/>
        <v>6420.01</v>
      </c>
      <c r="C23" s="354">
        <f t="shared" ca="1" si="3"/>
        <v>7490</v>
      </c>
      <c r="D23" s="354">
        <f t="shared" ca="1" si="2"/>
        <v>3210</v>
      </c>
      <c r="E23" s="355">
        <f t="shared" ca="1" si="4"/>
        <v>0</v>
      </c>
      <c r="F23" s="356">
        <f t="shared" ca="1" si="0"/>
        <v>0</v>
      </c>
    </row>
    <row r="24" spans="2:6" x14ac:dyDescent="0.2">
      <c r="B24" s="353">
        <f t="shared" ca="1" si="1"/>
        <v>7490.01</v>
      </c>
      <c r="C24" s="354">
        <f t="shared" ca="1" si="3"/>
        <v>8560</v>
      </c>
      <c r="D24" s="354">
        <f t="shared" ca="1" si="2"/>
        <v>3750</v>
      </c>
      <c r="E24" s="355">
        <f t="shared" ca="1" si="4"/>
        <v>0</v>
      </c>
      <c r="F24" s="356">
        <f t="shared" ca="1" si="0"/>
        <v>0</v>
      </c>
    </row>
    <row r="25" spans="2:6" x14ac:dyDescent="0.2">
      <c r="B25" s="353">
        <f t="shared" ca="1" si="1"/>
        <v>8560.01</v>
      </c>
      <c r="C25" s="354">
        <f t="shared" ca="1" si="3"/>
        <v>9630</v>
      </c>
      <c r="D25" s="354">
        <f t="shared" ca="1" si="2"/>
        <v>4280</v>
      </c>
      <c r="E25" s="355">
        <f t="shared" ca="1" si="4"/>
        <v>0</v>
      </c>
      <c r="F25" s="356">
        <f t="shared" ca="1" si="0"/>
        <v>0</v>
      </c>
    </row>
    <row r="26" spans="2:6" x14ac:dyDescent="0.2">
      <c r="B26" s="353">
        <f t="shared" ca="1" si="1"/>
        <v>9630.01</v>
      </c>
      <c r="C26" s="354">
        <f t="shared" ca="1" si="3"/>
        <v>10700</v>
      </c>
      <c r="D26" s="354">
        <f t="shared" ca="1" si="2"/>
        <v>4820</v>
      </c>
      <c r="E26" s="355">
        <f t="shared" ca="1" si="4"/>
        <v>0</v>
      </c>
      <c r="F26" s="356">
        <f t="shared" ca="1" si="0"/>
        <v>0</v>
      </c>
    </row>
    <row r="27" spans="2:6" x14ac:dyDescent="0.2">
      <c r="B27" s="353">
        <f t="shared" ca="1" si="1"/>
        <v>10700.01</v>
      </c>
      <c r="C27" s="354">
        <f t="shared" ca="1" si="3"/>
        <v>11770</v>
      </c>
      <c r="D27" s="354">
        <f t="shared" ca="1" si="2"/>
        <v>5350</v>
      </c>
      <c r="E27" s="355">
        <f t="shared" ca="1" si="4"/>
        <v>0</v>
      </c>
      <c r="F27" s="356">
        <f t="shared" ca="1" si="0"/>
        <v>0</v>
      </c>
    </row>
    <row r="28" spans="2:6" x14ac:dyDescent="0.2">
      <c r="B28" s="353">
        <f t="shared" ca="1" si="1"/>
        <v>11770.01</v>
      </c>
      <c r="C28" s="354">
        <f t="shared" ca="1" si="3"/>
        <v>12840</v>
      </c>
      <c r="D28" s="354">
        <f t="shared" ca="1" si="2"/>
        <v>5890</v>
      </c>
      <c r="E28" s="355">
        <f t="shared" ca="1" si="4"/>
        <v>0</v>
      </c>
      <c r="F28" s="356">
        <f t="shared" ca="1" si="0"/>
        <v>0</v>
      </c>
    </row>
    <row r="29" spans="2:6" x14ac:dyDescent="0.2">
      <c r="B29" s="353">
        <f t="shared" ca="1" si="1"/>
        <v>12840.01</v>
      </c>
      <c r="C29" s="354">
        <f t="shared" ca="1" si="3"/>
        <v>13910</v>
      </c>
      <c r="D29" s="354">
        <f t="shared" ca="1" si="2"/>
        <v>6420</v>
      </c>
      <c r="E29" s="355">
        <f t="shared" ca="1" si="4"/>
        <v>0</v>
      </c>
      <c r="F29" s="356">
        <f t="shared" ca="1" si="0"/>
        <v>0</v>
      </c>
    </row>
    <row r="30" spans="2:6" x14ac:dyDescent="0.2">
      <c r="B30" s="353">
        <f t="shared" ca="1" si="1"/>
        <v>13910.01</v>
      </c>
      <c r="C30" s="354">
        <f t="shared" ca="1" si="3"/>
        <v>14980</v>
      </c>
      <c r="D30" s="354">
        <f t="shared" ca="1" si="2"/>
        <v>6960</v>
      </c>
      <c r="E30" s="355">
        <f t="shared" ca="1" si="4"/>
        <v>0</v>
      </c>
      <c r="F30" s="356">
        <f t="shared" ca="1" si="0"/>
        <v>0</v>
      </c>
    </row>
    <row r="31" spans="2:6" x14ac:dyDescent="0.2">
      <c r="B31" s="353">
        <f t="shared" ca="1" si="1"/>
        <v>14980.01</v>
      </c>
      <c r="C31" s="354">
        <f t="shared" ca="1" si="3"/>
        <v>16050</v>
      </c>
      <c r="D31" s="354">
        <f t="shared" ca="1" si="2"/>
        <v>7490</v>
      </c>
      <c r="E31" s="355">
        <f t="shared" ca="1" si="4"/>
        <v>0</v>
      </c>
      <c r="F31" s="356">
        <f t="shared" ca="1" si="0"/>
        <v>0</v>
      </c>
    </row>
    <row r="32" spans="2:6" x14ac:dyDescent="0.2">
      <c r="B32" s="353">
        <f t="shared" ca="1" si="1"/>
        <v>16050.01</v>
      </c>
      <c r="C32" s="354">
        <f t="shared" ca="1" si="3"/>
        <v>17120</v>
      </c>
      <c r="D32" s="354">
        <f t="shared" ca="1" si="2"/>
        <v>8030</v>
      </c>
      <c r="E32" s="355">
        <f t="shared" ca="1" si="4"/>
        <v>0</v>
      </c>
      <c r="F32" s="356">
        <f t="shared" ca="1" si="0"/>
        <v>0</v>
      </c>
    </row>
    <row r="33" spans="2:6" x14ac:dyDescent="0.2">
      <c r="B33" s="353">
        <f t="shared" ca="1" si="1"/>
        <v>17120.009999999998</v>
      </c>
      <c r="C33" s="354">
        <f t="shared" ca="1" si="3"/>
        <v>18190</v>
      </c>
      <c r="D33" s="354">
        <f t="shared" ca="1" si="2"/>
        <v>8560</v>
      </c>
      <c r="E33" s="355">
        <f t="shared" ca="1" si="4"/>
        <v>0</v>
      </c>
      <c r="F33" s="356">
        <f t="shared" ca="1" si="0"/>
        <v>0</v>
      </c>
    </row>
    <row r="34" spans="2:6" x14ac:dyDescent="0.2">
      <c r="B34" s="353">
        <f t="shared" ca="1" si="1"/>
        <v>18190.009999999998</v>
      </c>
      <c r="C34" s="354">
        <f t="shared" ca="1" si="3"/>
        <v>19260</v>
      </c>
      <c r="D34" s="354">
        <f t="shared" ca="1" si="2"/>
        <v>9100</v>
      </c>
      <c r="E34" s="355">
        <f t="shared" ca="1" si="4"/>
        <v>0</v>
      </c>
      <c r="F34" s="356">
        <f t="shared" ca="1" si="0"/>
        <v>0</v>
      </c>
    </row>
    <row r="35" spans="2:6" x14ac:dyDescent="0.2">
      <c r="B35" s="353">
        <f t="shared" ca="1" si="1"/>
        <v>19260.009999999998</v>
      </c>
      <c r="C35" s="354">
        <f t="shared" ca="1" si="3"/>
        <v>20330</v>
      </c>
      <c r="D35" s="354">
        <f t="shared" ca="1" si="2"/>
        <v>9630</v>
      </c>
      <c r="E35" s="355">
        <f t="shared" ca="1" si="4"/>
        <v>0</v>
      </c>
      <c r="F35" s="356">
        <f t="shared" ca="1" si="0"/>
        <v>0</v>
      </c>
    </row>
    <row r="36" spans="2:6" x14ac:dyDescent="0.2">
      <c r="B36" s="353">
        <f t="shared" ca="1" si="1"/>
        <v>20330.009999999998</v>
      </c>
      <c r="C36" s="354">
        <f t="shared" ca="1" si="3"/>
        <v>21400</v>
      </c>
      <c r="D36" s="354">
        <f t="shared" ca="1" si="2"/>
        <v>10170</v>
      </c>
      <c r="E36" s="355">
        <f t="shared" ca="1" si="4"/>
        <v>0</v>
      </c>
      <c r="F36" s="356">
        <f t="shared" ca="1" si="0"/>
        <v>0</v>
      </c>
    </row>
    <row r="37" spans="2:6" x14ac:dyDescent="0.2">
      <c r="B37" s="353">
        <f t="shared" ca="1" si="1"/>
        <v>21400.01</v>
      </c>
      <c r="C37" s="354">
        <f t="shared" ca="1" si="3"/>
        <v>22470</v>
      </c>
      <c r="D37" s="354">
        <f t="shared" ca="1" si="2"/>
        <v>10700</v>
      </c>
      <c r="E37" s="355">
        <f t="shared" ca="1" si="4"/>
        <v>0</v>
      </c>
      <c r="F37" s="356">
        <f t="shared" ca="1" si="0"/>
        <v>0</v>
      </c>
    </row>
    <row r="38" spans="2:6" x14ac:dyDescent="0.2">
      <c r="B38" s="353">
        <f t="shared" ca="1" si="1"/>
        <v>22470.01</v>
      </c>
      <c r="C38" s="354">
        <f t="shared" ca="1" si="3"/>
        <v>23540</v>
      </c>
      <c r="D38" s="354">
        <f t="shared" ca="1" si="2"/>
        <v>11240</v>
      </c>
      <c r="E38" s="355">
        <f t="shared" ca="1" si="4"/>
        <v>0</v>
      </c>
      <c r="F38" s="356">
        <f t="shared" ca="1" si="0"/>
        <v>0</v>
      </c>
    </row>
    <row r="39" spans="2:6" ht="13.5" thickBot="1" x14ac:dyDescent="0.25">
      <c r="B39" s="357">
        <f t="shared" ca="1" si="1"/>
        <v>23540.01</v>
      </c>
      <c r="C39" s="358"/>
      <c r="D39" s="358">
        <f ca="1">ROUND(B39*0.5,-1)</f>
        <v>11770</v>
      </c>
      <c r="E39" s="359">
        <f ca="1">IF(($E$9&gt;=B39),1,0)</f>
        <v>0</v>
      </c>
      <c r="F39" s="360">
        <f ca="1">D39*E39</f>
        <v>0</v>
      </c>
    </row>
  </sheetData>
  <mergeCells count="1">
    <mergeCell ref="B14:C14"/>
  </mergeCells>
  <phoneticPr fontId="2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U26"/>
  <sheetViews>
    <sheetView zoomScaleNormal="100" workbookViewId="0">
      <selection activeCell="J35" sqref="J35"/>
    </sheetView>
  </sheetViews>
  <sheetFormatPr defaultColWidth="9.140625" defaultRowHeight="12.75" x14ac:dyDescent="0.2"/>
  <cols>
    <col min="1" max="1" width="3.28515625" style="69" customWidth="1"/>
    <col min="2" max="2" width="3.42578125" style="69" bestFit="1" customWidth="1"/>
    <col min="3" max="3" width="5.7109375" style="69" bestFit="1" customWidth="1"/>
    <col min="4" max="4" width="25.85546875" style="69" bestFit="1" customWidth="1"/>
    <col min="5" max="5" width="19" style="69" bestFit="1" customWidth="1"/>
    <col min="6" max="6" width="23.42578125" style="69" bestFit="1" customWidth="1"/>
    <col min="7" max="7" width="23.42578125" style="69" customWidth="1"/>
    <col min="8" max="8" width="16.28515625" style="69" bestFit="1" customWidth="1"/>
    <col min="9" max="10" width="9.140625" style="69"/>
    <col min="11" max="11" width="16.28515625" style="69" bestFit="1" customWidth="1"/>
    <col min="12" max="12" width="23.42578125" style="69" bestFit="1" customWidth="1"/>
    <col min="13" max="13" width="25.85546875" style="69" bestFit="1" customWidth="1"/>
    <col min="14" max="14" width="23.28515625" style="69" bestFit="1" customWidth="1"/>
    <col min="15" max="15" width="23.42578125" style="69" bestFit="1" customWidth="1"/>
    <col min="16" max="16" width="16.7109375" style="69" bestFit="1" customWidth="1"/>
    <col min="17" max="20" width="4.7109375" style="69" bestFit="1" customWidth="1"/>
    <col min="21" max="21" width="5.7109375" style="69" bestFit="1" customWidth="1"/>
    <col min="22" max="16384" width="9.140625" style="69"/>
  </cols>
  <sheetData>
    <row r="2" spans="2:8" ht="20.25" x14ac:dyDescent="0.3">
      <c r="B2" s="70" t="s">
        <v>9</v>
      </c>
    </row>
    <row r="3" spans="2:8" ht="15.75" x14ac:dyDescent="0.2">
      <c r="B3" s="423" t="s">
        <v>88</v>
      </c>
      <c r="C3" s="423"/>
      <c r="D3" s="423"/>
      <c r="E3" s="423"/>
      <c r="F3" s="423"/>
      <c r="G3" s="423"/>
      <c r="H3" s="423"/>
    </row>
    <row r="4" spans="2:8" ht="16.5" thickBot="1" x14ac:dyDescent="0.3">
      <c r="B4" s="71"/>
      <c r="C4" s="71"/>
      <c r="D4" s="71"/>
      <c r="E4" s="71"/>
      <c r="F4" s="71"/>
      <c r="G4" s="71"/>
      <c r="H4" s="71"/>
    </row>
    <row r="5" spans="2:8" x14ac:dyDescent="0.2">
      <c r="B5" s="80" t="s">
        <v>5</v>
      </c>
      <c r="C5" s="81" t="s">
        <v>4</v>
      </c>
      <c r="D5" s="82" t="s">
        <v>3</v>
      </c>
      <c r="E5" s="82" t="s">
        <v>2</v>
      </c>
      <c r="F5" s="82" t="s">
        <v>1</v>
      </c>
      <c r="G5" s="82" t="s">
        <v>6</v>
      </c>
      <c r="H5" s="83" t="s">
        <v>7</v>
      </c>
    </row>
    <row r="6" spans="2:8" x14ac:dyDescent="0.2">
      <c r="B6" s="236">
        <v>1</v>
      </c>
      <c r="C6" s="3" t="s">
        <v>42</v>
      </c>
      <c r="D6" s="464" t="s">
        <v>227</v>
      </c>
      <c r="E6" s="464" t="s">
        <v>228</v>
      </c>
      <c r="F6" s="465" t="s">
        <v>229</v>
      </c>
      <c r="G6" s="465" t="s">
        <v>231</v>
      </c>
      <c r="H6" s="281"/>
    </row>
    <row r="7" spans="2:8" x14ac:dyDescent="0.2">
      <c r="B7" s="237">
        <v>2</v>
      </c>
      <c r="C7" s="414" t="s">
        <v>43</v>
      </c>
      <c r="D7" s="466" t="s">
        <v>230</v>
      </c>
      <c r="E7" s="467" t="s">
        <v>228</v>
      </c>
      <c r="F7" s="466" t="s">
        <v>233</v>
      </c>
      <c r="G7" s="466" t="s">
        <v>232</v>
      </c>
      <c r="H7" s="238"/>
    </row>
    <row r="8" spans="2:8" x14ac:dyDescent="0.2">
      <c r="B8" s="236">
        <v>3</v>
      </c>
      <c r="C8" s="3" t="s">
        <v>44</v>
      </c>
      <c r="D8" s="3"/>
      <c r="E8" s="3"/>
      <c r="F8" s="3"/>
      <c r="G8" s="3"/>
      <c r="H8" s="87"/>
    </row>
    <row r="9" spans="2:8" x14ac:dyDescent="0.2">
      <c r="B9" s="237">
        <v>4</v>
      </c>
      <c r="C9" s="414" t="s">
        <v>45</v>
      </c>
      <c r="D9" s="2"/>
      <c r="E9" s="2"/>
      <c r="F9" s="2"/>
      <c r="G9" s="2"/>
      <c r="H9" s="238"/>
    </row>
    <row r="10" spans="2:8" x14ac:dyDescent="0.2">
      <c r="B10" s="236">
        <v>5</v>
      </c>
      <c r="C10" s="3" t="s">
        <v>46</v>
      </c>
      <c r="D10" s="3"/>
      <c r="E10" s="3"/>
      <c r="F10" s="3"/>
      <c r="G10" s="3"/>
      <c r="H10" s="87"/>
    </row>
    <row r="11" spans="2:8" x14ac:dyDescent="0.2">
      <c r="B11" s="237">
        <v>6</v>
      </c>
      <c r="C11" s="414" t="s">
        <v>47</v>
      </c>
      <c r="D11" s="2"/>
      <c r="E11" s="2"/>
      <c r="F11" s="2"/>
      <c r="G11" s="2"/>
      <c r="H11" s="238"/>
    </row>
    <row r="12" spans="2:8" x14ac:dyDescent="0.2">
      <c r="B12" s="236">
        <v>7</v>
      </c>
      <c r="C12" s="3" t="s">
        <v>48</v>
      </c>
      <c r="D12" s="3"/>
      <c r="E12" s="3"/>
      <c r="F12" s="3"/>
      <c r="G12" s="3"/>
      <c r="H12" s="87"/>
    </row>
    <row r="13" spans="2:8" x14ac:dyDescent="0.2">
      <c r="B13" s="237">
        <v>8</v>
      </c>
      <c r="C13" s="414" t="s">
        <v>49</v>
      </c>
      <c r="D13" s="2"/>
      <c r="E13" s="2"/>
      <c r="F13" s="2"/>
      <c r="G13" s="2"/>
      <c r="H13" s="238"/>
    </row>
    <row r="14" spans="2:8" x14ac:dyDescent="0.2">
      <c r="B14" s="236">
        <v>9</v>
      </c>
      <c r="C14" s="3" t="s">
        <v>50</v>
      </c>
      <c r="D14" s="3"/>
      <c r="E14" s="3"/>
      <c r="F14" s="3"/>
      <c r="G14" s="3"/>
      <c r="H14" s="87"/>
    </row>
    <row r="15" spans="2:8" ht="13.5" thickBot="1" x14ac:dyDescent="0.25">
      <c r="B15" s="239">
        <v>10</v>
      </c>
      <c r="C15" s="415" t="s">
        <v>0</v>
      </c>
      <c r="D15" s="240"/>
      <c r="E15" s="240"/>
      <c r="F15" s="240"/>
      <c r="G15" s="240"/>
      <c r="H15" s="241"/>
    </row>
    <row r="19" spans="11:21" ht="15" x14ac:dyDescent="0.25"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</row>
    <row r="20" spans="11:21" ht="15" x14ac:dyDescent="0.25"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1:21" ht="15" x14ac:dyDescent="0.25"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</row>
    <row r="22" spans="11:21" ht="15" x14ac:dyDescent="0.25"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</row>
    <row r="23" spans="11:21" ht="15" x14ac:dyDescent="0.25"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</row>
    <row r="24" spans="11:21" ht="15" x14ac:dyDescent="0.25"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</row>
    <row r="25" spans="11:21" ht="15" x14ac:dyDescent="0.25"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1:21" ht="15" x14ac:dyDescent="0.25"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</row>
  </sheetData>
  <mergeCells count="1">
    <mergeCell ref="B3:H3"/>
  </mergeCells>
  <phoneticPr fontId="24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44"/>
  <sheetViews>
    <sheetView zoomScaleNormal="100" workbookViewId="0">
      <selection activeCell="H41" sqref="H41"/>
    </sheetView>
  </sheetViews>
  <sheetFormatPr defaultColWidth="9.140625" defaultRowHeight="12.75" x14ac:dyDescent="0.25"/>
  <cols>
    <col min="1" max="1" width="9.140625" style="285"/>
    <col min="2" max="2" width="21.7109375" style="285" bestFit="1" customWidth="1"/>
    <col min="3" max="3" width="40.5703125" style="285" bestFit="1" customWidth="1"/>
    <col min="4" max="16384" width="9.140625" style="285"/>
  </cols>
  <sheetData>
    <row r="2" spans="2:3" ht="20.25" x14ac:dyDescent="0.25">
      <c r="B2" s="294" t="s">
        <v>189</v>
      </c>
    </row>
    <row r="3" spans="2:3" ht="12" customHeight="1" x14ac:dyDescent="0.25">
      <c r="B3" s="294"/>
    </row>
    <row r="4" spans="2:3" ht="12" customHeight="1" x14ac:dyDescent="0.25">
      <c r="B4" s="409"/>
    </row>
    <row r="5" spans="2:3" ht="12" customHeight="1" x14ac:dyDescent="0.25">
      <c r="B5" s="409"/>
    </row>
    <row r="6" spans="2:3" ht="12" customHeight="1" x14ac:dyDescent="0.25">
      <c r="B6" s="409"/>
    </row>
    <row r="7" spans="2:3" ht="12" customHeight="1" thickBot="1" x14ac:dyDescent="0.3"/>
    <row r="8" spans="2:3" ht="12" customHeight="1" x14ac:dyDescent="0.25">
      <c r="B8" s="295" t="s">
        <v>171</v>
      </c>
      <c r="C8" s="296"/>
    </row>
    <row r="9" spans="2:3" ht="12" customHeight="1" x14ac:dyDescent="0.25">
      <c r="B9" s="297"/>
      <c r="C9" s="298" t="s">
        <v>172</v>
      </c>
    </row>
    <row r="10" spans="2:3" ht="12" customHeight="1" thickBot="1" x14ac:dyDescent="0.3">
      <c r="B10" s="299"/>
      <c r="C10" s="300" t="s">
        <v>173</v>
      </c>
    </row>
    <row r="11" spans="2:3" ht="13.5" thickBot="1" x14ac:dyDescent="0.3"/>
    <row r="12" spans="2:3" ht="12" customHeight="1" x14ac:dyDescent="0.25">
      <c r="B12" s="295" t="s">
        <v>174</v>
      </c>
      <c r="C12" s="296"/>
    </row>
    <row r="13" spans="2:3" ht="12" customHeight="1" x14ac:dyDescent="0.25">
      <c r="B13" s="301" t="s">
        <v>58</v>
      </c>
      <c r="C13" s="298" t="s">
        <v>175</v>
      </c>
    </row>
    <row r="14" spans="2:3" ht="12" customHeight="1" x14ac:dyDescent="0.25">
      <c r="B14" s="301" t="s">
        <v>190</v>
      </c>
      <c r="C14" s="298" t="s">
        <v>178</v>
      </c>
    </row>
    <row r="15" spans="2:3" ht="12" customHeight="1" x14ac:dyDescent="0.25">
      <c r="B15" s="301" t="s">
        <v>191</v>
      </c>
      <c r="C15" s="298" t="s">
        <v>176</v>
      </c>
    </row>
    <row r="16" spans="2:3" ht="12" customHeight="1" x14ac:dyDescent="0.25">
      <c r="B16" s="301" t="s">
        <v>192</v>
      </c>
      <c r="C16" s="298" t="s">
        <v>177</v>
      </c>
    </row>
    <row r="17" spans="2:3" ht="12" customHeight="1" thickBot="1" x14ac:dyDescent="0.3">
      <c r="B17" s="302" t="s">
        <v>194</v>
      </c>
      <c r="C17" s="300" t="s">
        <v>193</v>
      </c>
    </row>
    <row r="19" spans="2:3" ht="12" customHeight="1" x14ac:dyDescent="0.25">
      <c r="B19" s="285" t="s">
        <v>179</v>
      </c>
    </row>
    <row r="20" spans="2:3" ht="12" customHeight="1" x14ac:dyDescent="0.25">
      <c r="B20" s="307" t="s">
        <v>180</v>
      </c>
    </row>
    <row r="21" spans="2:3" ht="12" customHeight="1" x14ac:dyDescent="0.25">
      <c r="B21" s="285" t="s">
        <v>181</v>
      </c>
    </row>
    <row r="22" spans="2:3" ht="12" customHeight="1" x14ac:dyDescent="0.25">
      <c r="B22" s="306" t="s">
        <v>182</v>
      </c>
    </row>
    <row r="23" spans="2:3" ht="12" customHeight="1" x14ac:dyDescent="0.25">
      <c r="B23" s="285" t="s">
        <v>183</v>
      </c>
    </row>
    <row r="24" spans="2:3" ht="12" customHeight="1" x14ac:dyDescent="0.25"/>
    <row r="26" spans="2:3" ht="12" customHeight="1" x14ac:dyDescent="0.25">
      <c r="B26" s="285" t="s">
        <v>184</v>
      </c>
    </row>
    <row r="27" spans="2:3" ht="12" customHeight="1" x14ac:dyDescent="0.25">
      <c r="B27" s="285" t="s">
        <v>185</v>
      </c>
      <c r="C27" s="311" t="s">
        <v>186</v>
      </c>
    </row>
    <row r="28" spans="2:3" ht="12" customHeight="1" x14ac:dyDescent="0.25">
      <c r="B28" s="285" t="s">
        <v>187</v>
      </c>
      <c r="C28" s="311" t="s">
        <v>63</v>
      </c>
    </row>
    <row r="29" spans="2:3" ht="12" customHeight="1" x14ac:dyDescent="0.25">
      <c r="B29" s="285" t="s">
        <v>188</v>
      </c>
      <c r="C29" s="311" t="s">
        <v>209</v>
      </c>
    </row>
    <row r="30" spans="2:3" ht="13.5" thickBot="1" x14ac:dyDescent="0.3"/>
    <row r="31" spans="2:3" ht="12" customHeight="1" x14ac:dyDescent="0.25">
      <c r="B31" s="295" t="s">
        <v>195</v>
      </c>
      <c r="C31" s="296"/>
    </row>
    <row r="32" spans="2:3" ht="12" customHeight="1" x14ac:dyDescent="0.25">
      <c r="B32" s="301" t="s">
        <v>167</v>
      </c>
      <c r="C32" s="298" t="s">
        <v>196</v>
      </c>
    </row>
    <row r="33" spans="2:3" ht="12" customHeight="1" x14ac:dyDescent="0.25">
      <c r="B33" s="301" t="s">
        <v>197</v>
      </c>
      <c r="C33" s="298" t="s">
        <v>198</v>
      </c>
    </row>
    <row r="34" spans="2:3" ht="12" customHeight="1" x14ac:dyDescent="0.25">
      <c r="B34" s="301" t="s">
        <v>199</v>
      </c>
      <c r="C34" s="298" t="s">
        <v>200</v>
      </c>
    </row>
    <row r="35" spans="2:3" ht="12" customHeight="1" x14ac:dyDescent="0.25">
      <c r="B35" s="301" t="s">
        <v>201</v>
      </c>
      <c r="C35" s="298" t="s">
        <v>202</v>
      </c>
    </row>
    <row r="36" spans="2:3" ht="12" customHeight="1" x14ac:dyDescent="0.25">
      <c r="B36" s="301" t="s">
        <v>75</v>
      </c>
      <c r="C36" s="298" t="s">
        <v>16</v>
      </c>
    </row>
    <row r="37" spans="2:3" ht="12" customHeight="1" x14ac:dyDescent="0.25">
      <c r="B37" s="301" t="s">
        <v>206</v>
      </c>
      <c r="C37" s="298" t="s">
        <v>207</v>
      </c>
    </row>
    <row r="38" spans="2:3" ht="12" customHeight="1" x14ac:dyDescent="0.25">
      <c r="B38" s="304" t="s">
        <v>210</v>
      </c>
      <c r="C38" s="305" t="s">
        <v>211</v>
      </c>
    </row>
    <row r="39" spans="2:3" ht="12" customHeight="1" thickBot="1" x14ac:dyDescent="0.3">
      <c r="B39" s="302" t="s">
        <v>208</v>
      </c>
      <c r="C39" s="300" t="s">
        <v>123</v>
      </c>
    </row>
    <row r="40" spans="2:3" ht="13.5" thickBot="1" x14ac:dyDescent="0.3">
      <c r="B40" s="303"/>
      <c r="C40" s="303"/>
    </row>
    <row r="41" spans="2:3" x14ac:dyDescent="0.25">
      <c r="B41" s="404" t="s">
        <v>222</v>
      </c>
      <c r="C41" s="296"/>
    </row>
    <row r="42" spans="2:3" x14ac:dyDescent="0.25">
      <c r="B42" s="405" t="s">
        <v>14</v>
      </c>
      <c r="C42" s="406" t="s">
        <v>223</v>
      </c>
    </row>
    <row r="43" spans="2:3" x14ac:dyDescent="0.25">
      <c r="B43" s="405" t="s">
        <v>15</v>
      </c>
      <c r="C43" s="406" t="s">
        <v>62</v>
      </c>
    </row>
    <row r="44" spans="2:3" ht="13.5" thickBot="1" x14ac:dyDescent="0.3">
      <c r="B44" s="407" t="s">
        <v>15</v>
      </c>
      <c r="C44" s="408" t="s">
        <v>224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55"/>
  <sheetViews>
    <sheetView topLeftCell="A7" zoomScaleNormal="100" workbookViewId="0">
      <selection activeCell="E36" sqref="E36"/>
    </sheetView>
  </sheetViews>
  <sheetFormatPr defaultColWidth="9.140625" defaultRowHeight="12.75" x14ac:dyDescent="0.25"/>
  <cols>
    <col min="1" max="1" width="2.7109375" style="73" customWidth="1"/>
    <col min="2" max="2" width="30.140625" style="73" customWidth="1"/>
    <col min="3" max="3" width="9.85546875" style="73" bestFit="1" customWidth="1"/>
    <col min="4" max="5" width="15.7109375" style="73" customWidth="1"/>
    <col min="6" max="8" width="9.140625" style="73"/>
    <col min="9" max="9" width="15.85546875" style="73" bestFit="1" customWidth="1"/>
    <col min="10" max="16384" width="9.140625" style="73"/>
  </cols>
  <sheetData>
    <row r="1" spans="2:11" ht="18" customHeight="1" x14ac:dyDescent="0.25"/>
    <row r="2" spans="2:11" ht="21.75" customHeight="1" x14ac:dyDescent="0.25">
      <c r="B2" s="74" t="s">
        <v>8</v>
      </c>
    </row>
    <row r="3" spans="2:11" ht="15" customHeight="1" thickBot="1" x14ac:dyDescent="0.3"/>
    <row r="4" spans="2:11" ht="15" customHeight="1" x14ac:dyDescent="0.25">
      <c r="B4" s="26" t="s">
        <v>9</v>
      </c>
      <c r="C4" s="84"/>
      <c r="D4" s="85"/>
      <c r="E4" s="85"/>
      <c r="I4"/>
    </row>
    <row r="5" spans="2:11" ht="15" customHeight="1" x14ac:dyDescent="0.25">
      <c r="B5" s="86" t="s">
        <v>5</v>
      </c>
      <c r="C5" s="79"/>
      <c r="D5" s="87">
        <v>1</v>
      </c>
      <c r="E5" s="11">
        <v>2</v>
      </c>
    </row>
    <row r="6" spans="2:11" ht="15" customHeight="1" x14ac:dyDescent="0.25">
      <c r="B6" s="86" t="s">
        <v>4</v>
      </c>
      <c r="C6" s="79"/>
      <c r="D6" s="87" t="str">
        <f>VLOOKUP(D$5,'Osnovni podatki'!$B$6:$H$10,2,FALSE)</f>
        <v>OB01</v>
      </c>
      <c r="E6" s="11" t="str">
        <f>VLOOKUP(E$5,'Osnovni podatki'!$B$6:$H$10,2,FALSE)</f>
        <v>OB02</v>
      </c>
    </row>
    <row r="7" spans="2:11" ht="25.5" x14ac:dyDescent="0.25">
      <c r="B7" s="86" t="s">
        <v>3</v>
      </c>
      <c r="C7" s="79"/>
      <c r="D7" s="88" t="str">
        <f>VLOOKUP(D$5,'Osnovni podatki'!$B$6:$H$10,3,FALSE)</f>
        <v>DD Vič - Glavna stavba</v>
      </c>
      <c r="E7" s="65" t="str">
        <f>VLOOKUP(E$5,'Osnovni podatki'!$B$6:$H$10,3,FALSE)</f>
        <v>DD Vič - Stara uprava</v>
      </c>
      <c r="K7"/>
    </row>
    <row r="8" spans="2:11" ht="15" customHeight="1" x14ac:dyDescent="0.25">
      <c r="B8" s="21" t="s">
        <v>19</v>
      </c>
      <c r="C8" s="14" t="s">
        <v>64</v>
      </c>
      <c r="D8" s="89">
        <v>12485</v>
      </c>
      <c r="E8" s="57">
        <v>731</v>
      </c>
    </row>
    <row r="9" spans="2:11" ht="15" customHeight="1" x14ac:dyDescent="0.25">
      <c r="B9" s="21" t="s">
        <v>20</v>
      </c>
      <c r="C9" s="14" t="s">
        <v>64</v>
      </c>
      <c r="D9" s="89">
        <v>12485</v>
      </c>
      <c r="E9" s="57">
        <v>622</v>
      </c>
    </row>
    <row r="10" spans="2:11" ht="15" customHeight="1" x14ac:dyDescent="0.25">
      <c r="B10" s="21" t="s">
        <v>21</v>
      </c>
      <c r="C10" s="14" t="s">
        <v>64</v>
      </c>
      <c r="D10" s="89"/>
      <c r="E10" s="57"/>
    </row>
    <row r="11" spans="2:11" ht="15" customHeight="1" x14ac:dyDescent="0.25">
      <c r="B11" s="86" t="s">
        <v>10</v>
      </c>
      <c r="C11" s="79"/>
      <c r="D11" s="89"/>
      <c r="E11" s="57"/>
    </row>
    <row r="12" spans="2:11" ht="15" customHeight="1" x14ac:dyDescent="0.25">
      <c r="B12" s="21" t="s">
        <v>22</v>
      </c>
      <c r="C12" s="14" t="s">
        <v>99</v>
      </c>
      <c r="D12" s="89"/>
      <c r="E12" s="57"/>
    </row>
    <row r="13" spans="2:11" ht="15" customHeight="1" x14ac:dyDescent="0.25">
      <c r="B13" s="86" t="s">
        <v>11</v>
      </c>
      <c r="C13" s="79"/>
      <c r="D13" s="87">
        <v>1930</v>
      </c>
      <c r="E13" s="11"/>
    </row>
    <row r="14" spans="2:11" ht="15" customHeight="1" thickBot="1" x14ac:dyDescent="0.3">
      <c r="B14" s="99" t="s">
        <v>12</v>
      </c>
      <c r="C14" s="100"/>
      <c r="D14" s="256"/>
      <c r="E14" s="373"/>
    </row>
    <row r="15" spans="2:11" ht="15" customHeight="1" thickBot="1" x14ac:dyDescent="0.3">
      <c r="B15" s="248" t="s">
        <v>13</v>
      </c>
      <c r="C15" s="249"/>
      <c r="D15" s="257"/>
      <c r="E15" s="257"/>
      <c r="G15" s="75"/>
      <c r="H15" s="75"/>
      <c r="I15" s="75"/>
      <c r="J15" s="75"/>
    </row>
    <row r="16" spans="2:11" ht="15" customHeight="1" x14ac:dyDescent="0.25">
      <c r="B16" s="250" t="s">
        <v>14</v>
      </c>
      <c r="C16" s="247"/>
      <c r="D16" s="322" t="s">
        <v>201</v>
      </c>
      <c r="E16" s="374" t="s">
        <v>201</v>
      </c>
      <c r="G16" s="76"/>
      <c r="H16" s="75"/>
      <c r="I16" s="75"/>
      <c r="J16" s="75"/>
    </row>
    <row r="17" spans="2:10" ht="15" customHeight="1" x14ac:dyDescent="0.25">
      <c r="B17" s="20" t="s">
        <v>25</v>
      </c>
      <c r="C17" s="15" t="s">
        <v>18</v>
      </c>
      <c r="D17" s="91">
        <v>2149157</v>
      </c>
      <c r="E17" s="57">
        <v>107193</v>
      </c>
      <c r="G17" s="76"/>
      <c r="H17" s="75"/>
      <c r="I17" s="75"/>
      <c r="J17" s="75"/>
    </row>
    <row r="18" spans="2:10" ht="15" customHeight="1" x14ac:dyDescent="0.25">
      <c r="B18" s="20" t="s">
        <v>26</v>
      </c>
      <c r="C18" s="15" t="s">
        <v>18</v>
      </c>
      <c r="D18" s="91">
        <v>0</v>
      </c>
      <c r="E18" s="57">
        <v>0</v>
      </c>
      <c r="F18" s="317" t="s">
        <v>216</v>
      </c>
      <c r="G18" s="76"/>
      <c r="H18" s="75"/>
      <c r="I18" s="75"/>
      <c r="J18" s="75"/>
    </row>
    <row r="19" spans="2:10" ht="15" customHeight="1" x14ac:dyDescent="0.25">
      <c r="B19" s="20" t="s">
        <v>27</v>
      </c>
      <c r="C19" s="15" t="s">
        <v>18</v>
      </c>
      <c r="D19" s="91">
        <f>D17+D18</f>
        <v>2149157</v>
      </c>
      <c r="E19" s="57">
        <f>E17+E18</f>
        <v>107193</v>
      </c>
      <c r="G19" s="76"/>
      <c r="H19" s="75"/>
      <c r="I19" s="75"/>
      <c r="J19" s="75"/>
    </row>
    <row r="20" spans="2:10" ht="15" customHeight="1" x14ac:dyDescent="0.25">
      <c r="B20" s="20" t="s">
        <v>28</v>
      </c>
      <c r="C20" s="15" t="s">
        <v>18</v>
      </c>
      <c r="D20" s="91">
        <v>1658250</v>
      </c>
      <c r="E20" s="57">
        <v>107193</v>
      </c>
      <c r="G20" s="76"/>
      <c r="H20" s="75"/>
      <c r="I20" s="75"/>
      <c r="J20" s="75"/>
    </row>
    <row r="21" spans="2:10" ht="15" customHeight="1" x14ac:dyDescent="0.25">
      <c r="B21" s="20" t="s">
        <v>29</v>
      </c>
      <c r="C21" s="15" t="s">
        <v>18</v>
      </c>
      <c r="D21" s="91">
        <v>490907</v>
      </c>
      <c r="E21" s="57">
        <v>0</v>
      </c>
      <c r="G21" s="76"/>
      <c r="H21" s="75"/>
      <c r="I21" s="75"/>
      <c r="J21" s="75"/>
    </row>
    <row r="22" spans="2:10" ht="15" customHeight="1" x14ac:dyDescent="0.25">
      <c r="B22" s="20" t="s">
        <v>30</v>
      </c>
      <c r="C22" s="15" t="s">
        <v>18</v>
      </c>
      <c r="D22" s="91">
        <v>0</v>
      </c>
      <c r="E22" s="57">
        <v>0</v>
      </c>
      <c r="G22" s="76"/>
      <c r="H22" s="75"/>
      <c r="I22" s="75"/>
      <c r="J22" s="75"/>
    </row>
    <row r="23" spans="2:10" ht="15" customHeight="1" x14ac:dyDescent="0.25">
      <c r="B23" s="20" t="s">
        <v>31</v>
      </c>
      <c r="C23" s="15" t="s">
        <v>18</v>
      </c>
      <c r="D23" s="91">
        <v>0</v>
      </c>
      <c r="E23" s="57">
        <v>0</v>
      </c>
      <c r="F23" s="379"/>
      <c r="G23" s="76"/>
      <c r="H23" s="341"/>
      <c r="I23" s="75"/>
      <c r="J23" s="75"/>
    </row>
    <row r="24" spans="2:10" ht="15" customHeight="1" x14ac:dyDescent="0.25">
      <c r="B24" s="20" t="s">
        <v>32</v>
      </c>
      <c r="C24" s="15" t="s">
        <v>23</v>
      </c>
      <c r="D24" s="92">
        <v>76.73</v>
      </c>
      <c r="E24" s="375">
        <v>76.73</v>
      </c>
      <c r="G24" s="76"/>
      <c r="H24" s="75"/>
      <c r="I24" s="72"/>
      <c r="J24" s="75"/>
    </row>
    <row r="25" spans="2:10" ht="15" customHeight="1" x14ac:dyDescent="0.25">
      <c r="B25" s="20" t="s">
        <v>33</v>
      </c>
      <c r="C25" s="15" t="s">
        <v>24</v>
      </c>
      <c r="D25" s="93">
        <f>D17*D24/1000</f>
        <v>164904.81661000001</v>
      </c>
      <c r="E25" s="376">
        <f>E17*E24/1000</f>
        <v>8224.9188900000008</v>
      </c>
      <c r="G25" s="76"/>
      <c r="H25" s="75"/>
      <c r="I25" s="75"/>
      <c r="J25" s="75"/>
    </row>
    <row r="26" spans="2:10" ht="15" customHeight="1" x14ac:dyDescent="0.25">
      <c r="B26" s="20" t="s">
        <v>34</v>
      </c>
      <c r="C26" s="15" t="s">
        <v>24</v>
      </c>
      <c r="D26" s="93">
        <f>D18*D24/1000</f>
        <v>0</v>
      </c>
      <c r="E26" s="376">
        <f>E18*E24/1000</f>
        <v>0</v>
      </c>
      <c r="G26" s="75"/>
      <c r="H26" s="75"/>
      <c r="I26" s="75"/>
      <c r="J26" s="75"/>
    </row>
    <row r="27" spans="2:10" ht="15" customHeight="1" thickBot="1" x14ac:dyDescent="0.3">
      <c r="B27" s="101" t="s">
        <v>35</v>
      </c>
      <c r="C27" s="102" t="s">
        <v>24</v>
      </c>
      <c r="D27" s="103">
        <f>D19*D24/1000</f>
        <v>164904.81661000001</v>
      </c>
      <c r="E27" s="377">
        <f>E19*E24/1000</f>
        <v>8224.9188900000008</v>
      </c>
      <c r="G27" s="75"/>
      <c r="H27" s="75"/>
      <c r="I27" s="75"/>
      <c r="J27" s="75"/>
    </row>
    <row r="28" spans="2:10" ht="15" customHeight="1" x14ac:dyDescent="0.25">
      <c r="B28" s="245" t="s">
        <v>16</v>
      </c>
      <c r="C28" s="246"/>
      <c r="D28" s="258"/>
      <c r="E28" s="258"/>
      <c r="G28" s="75"/>
      <c r="H28" s="75"/>
      <c r="I28" s="75"/>
      <c r="J28" s="75"/>
    </row>
    <row r="29" spans="2:10" ht="15" customHeight="1" x14ac:dyDescent="0.25">
      <c r="B29" s="22" t="s">
        <v>25</v>
      </c>
      <c r="C29" s="10" t="s">
        <v>18</v>
      </c>
      <c r="D29" s="94">
        <v>550273</v>
      </c>
      <c r="E29" s="57">
        <v>27446</v>
      </c>
      <c r="F29" s="317"/>
      <c r="G29" s="76"/>
      <c r="H29" s="75"/>
      <c r="I29" s="75"/>
      <c r="J29" s="75"/>
    </row>
    <row r="30" spans="2:10" ht="15" customHeight="1" x14ac:dyDescent="0.25">
      <c r="B30" s="22" t="s">
        <v>26</v>
      </c>
      <c r="C30" s="10" t="s">
        <v>18</v>
      </c>
      <c r="D30" s="94">
        <v>0</v>
      </c>
      <c r="E30" s="57">
        <v>0</v>
      </c>
      <c r="F30" s="317" t="s">
        <v>216</v>
      </c>
      <c r="G30" s="76"/>
      <c r="H30" s="75"/>
      <c r="I30" s="75"/>
      <c r="J30" s="75"/>
    </row>
    <row r="31" spans="2:10" ht="15" customHeight="1" x14ac:dyDescent="0.25">
      <c r="B31" s="22" t="s">
        <v>27</v>
      </c>
      <c r="C31" s="10" t="s">
        <v>18</v>
      </c>
      <c r="D31" s="94">
        <f>D29+D30</f>
        <v>550273</v>
      </c>
      <c r="E31" s="57">
        <f>E29+E30</f>
        <v>27446</v>
      </c>
      <c r="G31" s="76"/>
      <c r="H31" s="75"/>
      <c r="I31" s="75"/>
      <c r="J31" s="75"/>
    </row>
    <row r="32" spans="2:10" ht="15" customHeight="1" x14ac:dyDescent="0.25">
      <c r="B32" s="283" t="s">
        <v>168</v>
      </c>
      <c r="C32" s="10" t="s">
        <v>18</v>
      </c>
      <c r="D32" s="286">
        <v>0</v>
      </c>
      <c r="E32" s="378">
        <v>1500</v>
      </c>
      <c r="G32" s="76"/>
      <c r="H32" s="75"/>
      <c r="I32" s="75"/>
      <c r="J32" s="75"/>
    </row>
    <row r="33" spans="2:10" ht="15" customHeight="1" x14ac:dyDescent="0.25">
      <c r="B33" s="22" t="s">
        <v>29</v>
      </c>
      <c r="C33" s="10" t="s">
        <v>18</v>
      </c>
      <c r="D33" s="94">
        <v>0</v>
      </c>
      <c r="E33" s="57">
        <v>11430</v>
      </c>
      <c r="G33" s="76"/>
      <c r="H33" s="75"/>
      <c r="I33" s="75"/>
      <c r="J33" s="75"/>
    </row>
    <row r="34" spans="2:10" ht="15" customHeight="1" x14ac:dyDescent="0.25">
      <c r="B34" s="22" t="s">
        <v>30</v>
      </c>
      <c r="C34" s="10" t="s">
        <v>18</v>
      </c>
      <c r="D34" s="94">
        <v>207910</v>
      </c>
      <c r="E34" s="57">
        <v>0</v>
      </c>
      <c r="G34" s="76"/>
      <c r="H34" s="75"/>
      <c r="I34" s="75"/>
      <c r="J34" s="75"/>
    </row>
    <row r="35" spans="2:10" ht="15" customHeight="1" x14ac:dyDescent="0.25">
      <c r="B35" s="22" t="s">
        <v>36</v>
      </c>
      <c r="C35" s="10" t="s">
        <v>18</v>
      </c>
      <c r="D35" s="94">
        <v>93640</v>
      </c>
      <c r="E35" s="57">
        <v>10275</v>
      </c>
      <c r="G35" s="76"/>
      <c r="H35" s="75"/>
      <c r="I35" s="75"/>
      <c r="J35" s="75"/>
    </row>
    <row r="36" spans="2:10" ht="15" customHeight="1" x14ac:dyDescent="0.25">
      <c r="B36" s="22" t="s">
        <v>31</v>
      </c>
      <c r="C36" s="10" t="s">
        <v>18</v>
      </c>
      <c r="D36" s="94">
        <f>D31-D32-D33-D34-D35</f>
        <v>248723</v>
      </c>
      <c r="E36" s="57">
        <f>E31-E32-E33-E34-E35</f>
        <v>4241</v>
      </c>
      <c r="G36" s="76"/>
      <c r="H36" s="75"/>
      <c r="I36" s="75"/>
      <c r="J36" s="75"/>
    </row>
    <row r="37" spans="2:10" ht="15" customHeight="1" x14ac:dyDescent="0.25">
      <c r="B37" s="22" t="s">
        <v>32</v>
      </c>
      <c r="C37" s="10" t="s">
        <v>23</v>
      </c>
      <c r="D37" s="95">
        <v>108.49</v>
      </c>
      <c r="E37" s="375">
        <v>108.49</v>
      </c>
      <c r="G37" s="76"/>
      <c r="H37" s="75"/>
      <c r="I37" s="75"/>
      <c r="J37" s="75"/>
    </row>
    <row r="38" spans="2:10" ht="15" customHeight="1" x14ac:dyDescent="0.25">
      <c r="B38" s="22" t="s">
        <v>33</v>
      </c>
      <c r="C38" s="10" t="s">
        <v>24</v>
      </c>
      <c r="D38" s="96">
        <f>D29*D37/1000</f>
        <v>59699.117769999997</v>
      </c>
      <c r="E38" s="376">
        <f>E29*E37/1000</f>
        <v>2977.61654</v>
      </c>
      <c r="G38" s="76"/>
      <c r="H38" s="75"/>
      <c r="I38" s="75"/>
      <c r="J38" s="75"/>
    </row>
    <row r="39" spans="2:10" ht="15" customHeight="1" x14ac:dyDescent="0.25">
      <c r="B39" s="22" t="s">
        <v>34</v>
      </c>
      <c r="C39" s="10" t="s">
        <v>24</v>
      </c>
      <c r="D39" s="96">
        <f>D30*D37/1000</f>
        <v>0</v>
      </c>
      <c r="E39" s="376">
        <f>E30*E37/1000</f>
        <v>0</v>
      </c>
      <c r="G39" s="76"/>
      <c r="H39" s="75"/>
      <c r="I39" s="75"/>
      <c r="J39" s="75"/>
    </row>
    <row r="40" spans="2:10" ht="15" customHeight="1" thickBot="1" x14ac:dyDescent="0.3">
      <c r="B40" s="104" t="s">
        <v>35</v>
      </c>
      <c r="C40" s="105" t="s">
        <v>24</v>
      </c>
      <c r="D40" s="106">
        <f>D31*D37/1000</f>
        <v>59699.117769999997</v>
      </c>
      <c r="E40" s="377">
        <f>E31*E37/1000</f>
        <v>2977.61654</v>
      </c>
      <c r="G40" s="76"/>
      <c r="H40" s="75"/>
      <c r="I40" s="75"/>
      <c r="J40" s="75"/>
    </row>
    <row r="41" spans="2:10" ht="15" customHeight="1" x14ac:dyDescent="0.25">
      <c r="B41" s="107" t="s">
        <v>37</v>
      </c>
      <c r="C41" s="108"/>
      <c r="D41" s="109"/>
      <c r="E41" s="109"/>
      <c r="G41" s="75"/>
      <c r="H41" s="75"/>
      <c r="I41" s="75"/>
      <c r="J41" s="75"/>
    </row>
    <row r="42" spans="2:10" ht="39" thickBot="1" x14ac:dyDescent="0.3">
      <c r="B42" s="110" t="s">
        <v>38</v>
      </c>
      <c r="C42" s="111" t="s">
        <v>24</v>
      </c>
      <c r="D42" s="112">
        <f>3*D8</f>
        <v>37455</v>
      </c>
      <c r="E42" s="377">
        <f>3*E8</f>
        <v>2193</v>
      </c>
      <c r="F42" s="468"/>
      <c r="G42" s="75"/>
      <c r="H42" s="75"/>
      <c r="I42" s="75"/>
      <c r="J42" s="75"/>
    </row>
    <row r="43" spans="2:10" ht="15" customHeight="1" x14ac:dyDescent="0.25">
      <c r="B43" s="113" t="s">
        <v>39</v>
      </c>
      <c r="C43" s="114"/>
      <c r="D43" s="115"/>
      <c r="E43" s="115"/>
      <c r="G43" s="75"/>
      <c r="H43" s="75"/>
      <c r="I43" s="75"/>
      <c r="J43" s="75"/>
    </row>
    <row r="44" spans="2:10" ht="15" customHeight="1" x14ac:dyDescent="0.25">
      <c r="B44" s="24" t="s">
        <v>40</v>
      </c>
      <c r="C44" s="17" t="s">
        <v>24</v>
      </c>
      <c r="D44" s="97">
        <f>D25+D38+D42</f>
        <v>262058.93437999999</v>
      </c>
      <c r="E44" s="376">
        <f>E25+E38+E42</f>
        <v>13395.53543</v>
      </c>
    </row>
    <row r="45" spans="2:10" ht="15" customHeight="1" thickBot="1" x14ac:dyDescent="0.3">
      <c r="B45" s="25" t="s">
        <v>41</v>
      </c>
      <c r="C45" s="18" t="s">
        <v>24</v>
      </c>
      <c r="D45" s="98">
        <f>D27+D40+D42</f>
        <v>262058.93437999999</v>
      </c>
      <c r="E45" s="377">
        <f>E27+E40+E42</f>
        <v>13395.53543</v>
      </c>
    </row>
    <row r="46" spans="2:10" ht="15" customHeight="1" x14ac:dyDescent="0.25"/>
    <row r="47" spans="2:10" ht="15" customHeight="1" x14ac:dyDescent="0.25"/>
    <row r="48" spans="2:10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pageMargins left="0.7" right="0.7" top="0.75" bottom="0.75" header="0.3" footer="0.3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Y204"/>
  <sheetViews>
    <sheetView showWhiteSpace="0" zoomScaleNormal="100" workbookViewId="0">
      <selection activeCell="H20" sqref="H20"/>
    </sheetView>
  </sheetViews>
  <sheetFormatPr defaultColWidth="9.140625" defaultRowHeight="12.75" x14ac:dyDescent="0.2"/>
  <cols>
    <col min="1" max="1" width="4.85546875" style="69" customWidth="1"/>
    <col min="2" max="2" width="32.5703125" style="69" customWidth="1"/>
    <col min="3" max="8" width="15" style="69" customWidth="1"/>
    <col min="9" max="9" width="12.7109375" style="69" customWidth="1"/>
    <col min="10" max="11" width="14.7109375" style="69" customWidth="1"/>
    <col min="12" max="12" width="12.7109375" style="69" customWidth="1"/>
    <col min="13" max="13" width="16.28515625" style="69" customWidth="1"/>
    <col min="14" max="14" width="18.42578125" style="69" customWidth="1"/>
    <col min="15" max="15" width="14.7109375" style="69" bestFit="1" customWidth="1"/>
    <col min="16" max="16" width="9.140625" style="69" customWidth="1"/>
    <col min="17" max="24" width="9.140625" style="69"/>
    <col min="25" max="25" width="14.5703125" style="69" bestFit="1" customWidth="1"/>
    <col min="26" max="16384" width="9.140625" style="69"/>
  </cols>
  <sheetData>
    <row r="1" spans="2:14" ht="14.1" customHeight="1" x14ac:dyDescent="0.2"/>
    <row r="2" spans="2:14" ht="28.35" customHeight="1" x14ac:dyDescent="0.2">
      <c r="B2" s="74" t="s">
        <v>51</v>
      </c>
    </row>
    <row r="3" spans="2:14" ht="14.1" customHeight="1" x14ac:dyDescent="0.2"/>
    <row r="4" spans="2:14" ht="19.7" customHeight="1" thickBot="1" x14ac:dyDescent="0.25">
      <c r="B4" s="77" t="s">
        <v>9</v>
      </c>
    </row>
    <row r="5" spans="2:14" ht="17.100000000000001" customHeight="1" x14ac:dyDescent="0.2">
      <c r="B5" s="26" t="s">
        <v>52</v>
      </c>
      <c r="C5" s="27"/>
      <c r="D5" s="28"/>
    </row>
    <row r="6" spans="2:14" ht="17.100000000000001" customHeight="1" x14ac:dyDescent="0.2">
      <c r="B6" s="424" t="s">
        <v>5</v>
      </c>
      <c r="C6" s="425"/>
      <c r="D6" s="11">
        <v>1</v>
      </c>
    </row>
    <row r="7" spans="2:14" ht="17.100000000000001" customHeight="1" x14ac:dyDescent="0.2">
      <c r="B7" s="424" t="s">
        <v>4</v>
      </c>
      <c r="C7" s="425"/>
      <c r="D7" s="11" t="str">
        <f>INDEX('Referenčne količine'!$B$4:$D$14,MATCH(B7,('Referenčne količine'!$B$4:$B$14),0),MATCH($D$6,'Referenčne količine'!$B$5:$D$5,0))</f>
        <v>OB01</v>
      </c>
    </row>
    <row r="8" spans="2:14" ht="42.6" customHeight="1" x14ac:dyDescent="0.2">
      <c r="B8" s="424" t="s">
        <v>3</v>
      </c>
      <c r="C8" s="425"/>
      <c r="D8" s="65" t="str">
        <f>INDEX('Referenčne količine'!$B$4:$D$14,MATCH(B8,('Referenčne količine'!$B$4:$B$14),0),MATCH($D$6,'Referenčne količine'!$B$5:$D$5,0))</f>
        <v>DD Vič - Glavna stavba</v>
      </c>
    </row>
    <row r="9" spans="2:14" ht="17.100000000000001" customHeight="1" x14ac:dyDescent="0.2">
      <c r="B9" s="21" t="s">
        <v>19</v>
      </c>
      <c r="C9" s="14" t="s">
        <v>64</v>
      </c>
      <c r="D9" s="57">
        <f>INDEX('Referenčne količine'!$B$4:$D$14,MATCH(B9,('Referenčne količine'!$B$4:$B$14),0),MATCH($D$6,'Referenčne količine'!$B$5:$D$5,0))</f>
        <v>12485</v>
      </c>
    </row>
    <row r="10" spans="2:14" ht="17.100000000000001" customHeight="1" thickBot="1" x14ac:dyDescent="0.25">
      <c r="B10" s="12" t="s">
        <v>53</v>
      </c>
      <c r="C10" s="29"/>
      <c r="D10" s="30"/>
      <c r="K10" s="318" t="s">
        <v>55</v>
      </c>
    </row>
    <row r="11" spans="2:14" ht="17.100000000000001" customHeight="1" x14ac:dyDescent="0.2">
      <c r="B11" s="242" t="s">
        <v>14</v>
      </c>
      <c r="C11" s="19"/>
      <c r="D11" s="11" t="str">
        <f>INDEX('Referenčne količine'!$B$15:$D$27,MATCH(B11,('Referenčne količine'!$B$15:$B$27),0),MATCH($D$6,'Referenčne količine'!$B$5:$D$5,0))</f>
        <v>ELKO</v>
      </c>
      <c r="K11" s="319" t="s">
        <v>55</v>
      </c>
      <c r="L11" s="320"/>
      <c r="M11" s="321"/>
      <c r="N11" s="116" t="str">
        <f>D7</f>
        <v>OB01</v>
      </c>
    </row>
    <row r="12" spans="2:14" ht="17.100000000000001" customHeight="1" x14ac:dyDescent="0.2">
      <c r="B12" s="20" t="s">
        <v>25</v>
      </c>
      <c r="C12" s="15" t="s">
        <v>18</v>
      </c>
      <c r="D12" s="57">
        <f>INDEX('Referenčne količine'!$B$15:$D$27,MATCH(B12,('Referenčne količine'!$B$15:$B$27),0),MATCH($D$6,'Referenčne količine'!$B$5:$D$5,0))</f>
        <v>2149157</v>
      </c>
      <c r="K12" s="209" t="s">
        <v>56</v>
      </c>
      <c r="L12" s="210"/>
      <c r="M12" s="211"/>
      <c r="N12" s="117" t="s">
        <v>58</v>
      </c>
    </row>
    <row r="13" spans="2:14" ht="17.100000000000001" customHeight="1" x14ac:dyDescent="0.2">
      <c r="B13" s="20" t="s">
        <v>26</v>
      </c>
      <c r="C13" s="15" t="s">
        <v>18</v>
      </c>
      <c r="D13" s="57">
        <f>INDEX('Referenčne količine'!$B$15:$D$27,MATCH(B13,('Referenčne količine'!$B$15:$B$27),0),MATCH($D$6,'Referenčne količine'!$B$5:$D$5,0))</f>
        <v>0</v>
      </c>
      <c r="K13" s="432"/>
      <c r="L13" s="433"/>
      <c r="M13" s="434"/>
      <c r="N13" s="312"/>
    </row>
    <row r="14" spans="2:14" ht="17.100000000000001" customHeight="1" x14ac:dyDescent="0.2">
      <c r="B14" s="20" t="s">
        <v>27</v>
      </c>
      <c r="C14" s="15" t="s">
        <v>18</v>
      </c>
      <c r="D14" s="57">
        <f>INDEX('Referenčne količine'!$B$15:$D$27,MATCH(B14,('Referenčne količine'!$B$15:$B$27),0),MATCH($D$6,'Referenčne količine'!$B$5:$D$5,0))</f>
        <v>2149157</v>
      </c>
      <c r="K14" s="432"/>
      <c r="L14" s="433"/>
      <c r="M14" s="434"/>
      <c r="N14" s="312"/>
    </row>
    <row r="15" spans="2:14" ht="17.100000000000001" customHeight="1" x14ac:dyDescent="0.2">
      <c r="B15" s="20" t="s">
        <v>28</v>
      </c>
      <c r="C15" s="15" t="s">
        <v>18</v>
      </c>
      <c r="D15" s="57">
        <f>INDEX('Referenčne količine'!$B$15:$D$27,MATCH(B15,('Referenčne količine'!$B$15:$B$27),0),MATCH($D$6,'Referenčne količine'!$B$5:$D$5,0))</f>
        <v>1658250</v>
      </c>
      <c r="K15" s="432"/>
      <c r="L15" s="433"/>
      <c r="M15" s="434"/>
      <c r="N15" s="312"/>
    </row>
    <row r="16" spans="2:14" ht="17.100000000000001" customHeight="1" x14ac:dyDescent="0.2">
      <c r="B16" s="20" t="s">
        <v>29</v>
      </c>
      <c r="C16" s="15" t="s">
        <v>18</v>
      </c>
      <c r="D16" s="57">
        <f>INDEX('Referenčne količine'!$B$15:$D$27,MATCH(B16,('Referenčne količine'!$B$15:$B$27),0),MATCH($D$6,'Referenčne količine'!$B$5:$D$5,0))</f>
        <v>490907</v>
      </c>
      <c r="K16" s="432"/>
      <c r="L16" s="433"/>
      <c r="M16" s="434"/>
      <c r="N16" s="312"/>
    </row>
    <row r="17" spans="2:14" ht="17.100000000000001" customHeight="1" x14ac:dyDescent="0.2">
      <c r="B17" s="20" t="s">
        <v>30</v>
      </c>
      <c r="C17" s="15" t="s">
        <v>18</v>
      </c>
      <c r="D17" s="57">
        <f>INDEX('Referenčne količine'!$B$15:$D$27,MATCH(B17,('Referenčne količine'!$B$15:$B$27),0),MATCH($D$6,'Referenčne količine'!$B$5:$D$5,0))</f>
        <v>0</v>
      </c>
      <c r="K17" s="432"/>
      <c r="L17" s="433"/>
      <c r="M17" s="434"/>
      <c r="N17" s="312"/>
    </row>
    <row r="18" spans="2:14" ht="17.100000000000001" customHeight="1" x14ac:dyDescent="0.2">
      <c r="B18" s="20" t="s">
        <v>31</v>
      </c>
      <c r="C18" s="15" t="s">
        <v>18</v>
      </c>
      <c r="D18" s="57">
        <f>INDEX('Referenčne količine'!$B$15:$D$27,MATCH(B18,('Referenčne količine'!$B$15:$B$27),0),MATCH($D$6,'Referenčne količine'!$B$5:$D$5,0))</f>
        <v>0</v>
      </c>
      <c r="K18" s="432"/>
      <c r="L18" s="433"/>
      <c r="M18" s="434"/>
      <c r="N18" s="312"/>
    </row>
    <row r="19" spans="2:14" ht="17.100000000000001" customHeight="1" x14ac:dyDescent="0.25">
      <c r="B19" s="20" t="s">
        <v>32</v>
      </c>
      <c r="C19" s="15" t="s">
        <v>23</v>
      </c>
      <c r="D19" s="58">
        <f>INDEX('Referenčne količine'!$B$15:$D$27,MATCH(B19,('Referenčne količine'!$B$15:$B$27),0),MATCH($D$6,'Referenčne količine'!$B$5:$D$5,0))</f>
        <v>76.73</v>
      </c>
      <c r="E19" s="72"/>
      <c r="K19" s="432"/>
      <c r="L19" s="433"/>
      <c r="M19" s="434"/>
      <c r="N19" s="312"/>
    </row>
    <row r="20" spans="2:14" ht="17.100000000000001" customHeight="1" x14ac:dyDescent="0.2">
      <c r="B20" s="20" t="s">
        <v>33</v>
      </c>
      <c r="C20" s="15" t="s">
        <v>24</v>
      </c>
      <c r="D20" s="59">
        <f>INDEX('Referenčne količine'!$B$15:$D$27,MATCH(B20,('Referenčne količine'!$B$15:$B$27),0),MATCH($D$6,'Referenčne količine'!$B$5:$D$5,0))</f>
        <v>164904.81661000001</v>
      </c>
      <c r="K20" s="432"/>
      <c r="L20" s="433"/>
      <c r="M20" s="434"/>
      <c r="N20" s="312"/>
    </row>
    <row r="21" spans="2:14" ht="17.100000000000001" customHeight="1" x14ac:dyDescent="0.2">
      <c r="B21" s="20" t="s">
        <v>34</v>
      </c>
      <c r="C21" s="15" t="s">
        <v>24</v>
      </c>
      <c r="D21" s="59">
        <f>INDEX('Referenčne količine'!$B$15:$D$27,MATCH(B21,('Referenčne količine'!$B$15:$B$27),0),MATCH($D$6,'Referenčne količine'!$B$5:$D$5,0))</f>
        <v>0</v>
      </c>
      <c r="K21" s="432"/>
      <c r="L21" s="433"/>
      <c r="M21" s="434"/>
      <c r="N21" s="312"/>
    </row>
    <row r="22" spans="2:14" ht="17.100000000000001" customHeight="1" x14ac:dyDescent="0.2">
      <c r="B22" s="243" t="s">
        <v>35</v>
      </c>
      <c r="C22" s="244" t="s">
        <v>24</v>
      </c>
      <c r="D22" s="251">
        <f>INDEX('Referenčne količine'!$B$15:$D$27,MATCH(B22,('Referenčne količine'!$B$15:$B$27),0),MATCH($D$6,'Referenčne količine'!$B$5:$D$5,0))</f>
        <v>164904.81661000001</v>
      </c>
      <c r="K22" s="430"/>
      <c r="L22" s="431"/>
      <c r="M22" s="431"/>
      <c r="N22" s="312"/>
    </row>
    <row r="23" spans="2:14" ht="17.100000000000001" customHeight="1" x14ac:dyDescent="0.2">
      <c r="B23" s="324" t="s">
        <v>54</v>
      </c>
      <c r="C23" s="325"/>
      <c r="D23" s="326"/>
      <c r="K23" s="430"/>
      <c r="L23" s="431"/>
      <c r="M23" s="431"/>
      <c r="N23" s="312"/>
    </row>
    <row r="24" spans="2:14" ht="17.100000000000001" customHeight="1" x14ac:dyDescent="0.2">
      <c r="B24" s="22" t="s">
        <v>25</v>
      </c>
      <c r="C24" s="10" t="s">
        <v>18</v>
      </c>
      <c r="D24" s="57">
        <f>INDEX('Referenčne količine'!$B$28:$D$40,MATCH(B24,('Referenčne količine'!$B$28:$B$40),0),MATCH($D$6,'Referenčne količine'!$B$5:$D$5,0))</f>
        <v>550273</v>
      </c>
      <c r="K24" s="430"/>
      <c r="L24" s="431"/>
      <c r="M24" s="431"/>
      <c r="N24" s="312"/>
    </row>
    <row r="25" spans="2:14" ht="17.100000000000001" customHeight="1" x14ac:dyDescent="0.2">
      <c r="B25" s="22" t="s">
        <v>26</v>
      </c>
      <c r="C25" s="10" t="s">
        <v>18</v>
      </c>
      <c r="D25" s="57">
        <f>INDEX('Referenčne količine'!$B$28:$D$40,MATCH(B25,('Referenčne količine'!$B$28:$B$40),0),MATCH($D$6,'Referenčne količine'!$B$5:$D$5,0))</f>
        <v>0</v>
      </c>
      <c r="K25" s="430"/>
      <c r="L25" s="431"/>
      <c r="M25" s="431"/>
      <c r="N25" s="312"/>
    </row>
    <row r="26" spans="2:14" ht="17.100000000000001" customHeight="1" x14ac:dyDescent="0.2">
      <c r="B26" s="22" t="s">
        <v>27</v>
      </c>
      <c r="C26" s="10" t="s">
        <v>18</v>
      </c>
      <c r="D26" s="57">
        <f>INDEX('Referenčne količine'!$B$28:$D$40,MATCH(B26,('Referenčne količine'!$B$28:$B$40),0),MATCH($D$6,'Referenčne količine'!$B$5:$D$5,0))</f>
        <v>550273</v>
      </c>
      <c r="K26" s="430"/>
      <c r="L26" s="431"/>
      <c r="M26" s="431"/>
      <c r="N26" s="312"/>
    </row>
    <row r="27" spans="2:14" ht="17.100000000000001" customHeight="1" x14ac:dyDescent="0.2">
      <c r="B27" s="283" t="s">
        <v>168</v>
      </c>
      <c r="C27" s="10" t="s">
        <v>18</v>
      </c>
      <c r="D27" s="57">
        <f>INDEX('Referenčne količine'!$B$28:$D$40,MATCH(B27,('Referenčne količine'!$B$28:$B$40),0),MATCH($D$6,'Referenčne količine'!$B$5:$D$5,0))</f>
        <v>0</v>
      </c>
      <c r="K27" s="430"/>
      <c r="L27" s="431"/>
      <c r="M27" s="431"/>
      <c r="N27" s="312"/>
    </row>
    <row r="28" spans="2:14" ht="17.100000000000001" customHeight="1" x14ac:dyDescent="0.2">
      <c r="B28" s="22" t="s">
        <v>29</v>
      </c>
      <c r="C28" s="10" t="s">
        <v>18</v>
      </c>
      <c r="D28" s="57">
        <f>INDEX('Referenčne količine'!$B$28:$D$40,MATCH(B28,('Referenčne količine'!$B$28:$B$40),0),MATCH($D$6,'Referenčne količine'!$B$5:$D$5,0))</f>
        <v>0</v>
      </c>
      <c r="K28" s="430"/>
      <c r="L28" s="431"/>
      <c r="M28" s="431"/>
      <c r="N28" s="312"/>
    </row>
    <row r="29" spans="2:14" ht="17.100000000000001" customHeight="1" x14ac:dyDescent="0.2">
      <c r="B29" s="22" t="s">
        <v>30</v>
      </c>
      <c r="C29" s="10" t="s">
        <v>18</v>
      </c>
      <c r="D29" s="57">
        <f>INDEX('Referenčne količine'!$B$28:$D$40,MATCH(B29,('Referenčne količine'!$B$28:$B$40),0),MATCH($D$6,'Referenčne količine'!$B$5:$D$5,0))</f>
        <v>207910</v>
      </c>
      <c r="K29" s="430"/>
      <c r="L29" s="431"/>
      <c r="M29" s="431"/>
      <c r="N29" s="312"/>
    </row>
    <row r="30" spans="2:14" ht="17.100000000000001" customHeight="1" x14ac:dyDescent="0.2">
      <c r="B30" s="22" t="s">
        <v>36</v>
      </c>
      <c r="C30" s="10" t="s">
        <v>18</v>
      </c>
      <c r="D30" s="57">
        <f>INDEX('Referenčne količine'!$B$28:$D$40,MATCH(B30,('Referenčne količine'!$B$28:$B$40),0),MATCH($D$6,'Referenčne količine'!$B$5:$D$5,0))</f>
        <v>93640</v>
      </c>
      <c r="K30" s="430"/>
      <c r="L30" s="431"/>
      <c r="M30" s="431"/>
      <c r="N30" s="312"/>
    </row>
    <row r="31" spans="2:14" ht="17.100000000000001" customHeight="1" x14ac:dyDescent="0.2">
      <c r="B31" s="22" t="s">
        <v>31</v>
      </c>
      <c r="C31" s="10" t="s">
        <v>18</v>
      </c>
      <c r="D31" s="57">
        <f>INDEX('Referenčne količine'!$B$28:$D$40,MATCH(B31,('Referenčne količine'!$B$28:$B$40),0),MATCH($D$6,'Referenčne količine'!$B$5:$D$5,0))</f>
        <v>248723</v>
      </c>
      <c r="K31" s="430"/>
      <c r="L31" s="431"/>
      <c r="M31" s="431"/>
      <c r="N31" s="312"/>
    </row>
    <row r="32" spans="2:14" ht="17.100000000000001" customHeight="1" x14ac:dyDescent="0.2">
      <c r="B32" s="22" t="s">
        <v>32</v>
      </c>
      <c r="C32" s="10" t="s">
        <v>23</v>
      </c>
      <c r="D32" s="58">
        <f>INDEX('Referenčne količine'!$B$28:$D$40,MATCH(B32,('Referenčne količine'!$B$28:$B$40),0),MATCH($D$6,'Referenčne količine'!$B$5:$D$5,0))</f>
        <v>108.49</v>
      </c>
      <c r="K32" s="430"/>
      <c r="L32" s="431"/>
      <c r="M32" s="431"/>
      <c r="N32" s="312"/>
    </row>
    <row r="33" spans="2:14" ht="17.100000000000001" customHeight="1" x14ac:dyDescent="0.2">
      <c r="B33" s="22" t="s">
        <v>33</v>
      </c>
      <c r="C33" s="10" t="s">
        <v>24</v>
      </c>
      <c r="D33" s="59">
        <f>INDEX('Referenčne količine'!$B$28:$D$40,MATCH(B33,('Referenčne količine'!$B$28:$B$40),0),MATCH($D$6,'Referenčne količine'!$B$5:$D$5,0))</f>
        <v>59699.117769999997</v>
      </c>
      <c r="K33" s="209" t="s">
        <v>57</v>
      </c>
      <c r="L33" s="210"/>
      <c r="M33" s="211"/>
      <c r="N33" s="63">
        <f>SUM(N13:N32)</f>
        <v>0</v>
      </c>
    </row>
    <row r="34" spans="2:14" ht="17.100000000000001" customHeight="1" x14ac:dyDescent="0.2">
      <c r="B34" s="22" t="s">
        <v>34</v>
      </c>
      <c r="C34" s="10" t="s">
        <v>24</v>
      </c>
      <c r="D34" s="59">
        <f>INDEX('Referenčne količine'!$B$28:$D$40,MATCH(B34,('Referenčne količine'!$B$28:$B$40),0),MATCH($D$6,'Referenčne količine'!$B$5:$D$5,0))</f>
        <v>0</v>
      </c>
      <c r="K34" s="209" t="s">
        <v>59</v>
      </c>
      <c r="L34" s="210"/>
      <c r="M34" s="211"/>
      <c r="N34" s="63">
        <f>0.22*N33</f>
        <v>0</v>
      </c>
    </row>
    <row r="35" spans="2:14" ht="17.100000000000001" customHeight="1" thickBot="1" x14ac:dyDescent="0.25">
      <c r="B35" s="22" t="s">
        <v>35</v>
      </c>
      <c r="C35" s="10" t="s">
        <v>24</v>
      </c>
      <c r="D35" s="59">
        <f>INDEX('Referenčne količine'!$B$28:$D$40,MATCH(B35,('Referenčne količine'!$B$28:$B$40),0),MATCH($D$6,'Referenčne količine'!$B$5:$D$5,0))</f>
        <v>59699.117769999997</v>
      </c>
      <c r="K35" s="212" t="s">
        <v>117</v>
      </c>
      <c r="L35" s="213"/>
      <c r="M35" s="214"/>
      <c r="N35" s="119">
        <f>N33+N34</f>
        <v>0</v>
      </c>
    </row>
    <row r="36" spans="2:14" ht="17.100000000000001" customHeight="1" x14ac:dyDescent="0.2">
      <c r="B36" s="31" t="s">
        <v>37</v>
      </c>
      <c r="C36" s="32"/>
      <c r="D36" s="33"/>
    </row>
    <row r="37" spans="2:14" ht="28.35" customHeight="1" x14ac:dyDescent="0.2">
      <c r="B37" s="23" t="s">
        <v>38</v>
      </c>
      <c r="C37" s="16" t="s">
        <v>24</v>
      </c>
      <c r="D37" s="59">
        <f>INDEX('Referenčne količine'!$B$41:$D$42,MATCH(B37,('Referenčne količine'!$B$41:$B$42),0),MATCH($D$6,'Referenčne količine'!$B$5:$D$5,0))</f>
        <v>37455</v>
      </c>
    </row>
    <row r="38" spans="2:14" ht="17.100000000000001" customHeight="1" x14ac:dyDescent="0.2">
      <c r="B38" s="34" t="s">
        <v>39</v>
      </c>
      <c r="C38" s="35"/>
      <c r="D38" s="36"/>
    </row>
    <row r="39" spans="2:14" ht="17.100000000000001" customHeight="1" x14ac:dyDescent="0.2">
      <c r="B39" s="24" t="s">
        <v>40</v>
      </c>
      <c r="C39" s="17" t="s">
        <v>24</v>
      </c>
      <c r="D39" s="59">
        <f>INDEX('Referenčne količine'!$B$43:$D$45,MATCH(B39,('Referenčne količine'!$B$43:$B$45),0),MATCH($D$6,'Referenčne količine'!$B$5:$D$5,0))</f>
        <v>262058.93437999999</v>
      </c>
    </row>
    <row r="40" spans="2:14" ht="17.100000000000001" customHeight="1" thickBot="1" x14ac:dyDescent="0.25">
      <c r="B40" s="25" t="s">
        <v>41</v>
      </c>
      <c r="C40" s="18" t="s">
        <v>24</v>
      </c>
      <c r="D40" s="60">
        <f>INDEX('Referenčne količine'!$B$43:$D$45,MATCH(B40,('Referenčne količine'!$B$43:$B$45),0),MATCH($D$6,'Referenčne količine'!$B$5:$D$5,0))</f>
        <v>262058.93437999999</v>
      </c>
    </row>
    <row r="41" spans="2:14" ht="14.1" customHeight="1" x14ac:dyDescent="0.2"/>
    <row r="42" spans="2:14" ht="14.1" customHeight="1" x14ac:dyDescent="0.2"/>
    <row r="43" spans="2:14" ht="14.1" customHeight="1" x14ac:dyDescent="0.2"/>
    <row r="44" spans="2:14" ht="14.1" customHeight="1" x14ac:dyDescent="0.2"/>
    <row r="45" spans="2:14" ht="14.1" customHeight="1" x14ac:dyDescent="0.2"/>
    <row r="46" spans="2:14" ht="14.1" customHeight="1" x14ac:dyDescent="0.2"/>
    <row r="47" spans="2:14" ht="14.1" customHeight="1" x14ac:dyDescent="0.2"/>
    <row r="48" spans="2:14" ht="14.1" customHeight="1" x14ac:dyDescent="0.2"/>
    <row r="49" spans="2:25" ht="14.1" customHeight="1" x14ac:dyDescent="0.2"/>
    <row r="50" spans="2:25" ht="14.1" customHeight="1" x14ac:dyDescent="0.2"/>
    <row r="51" spans="2:25" ht="14.1" customHeight="1" x14ac:dyDescent="0.2"/>
    <row r="52" spans="2:25" ht="14.1" customHeight="1" x14ac:dyDescent="0.2">
      <c r="R52" s="340"/>
      <c r="Y52" s="340"/>
    </row>
    <row r="53" spans="2:25" ht="14.1" customHeight="1" x14ac:dyDescent="0.2"/>
    <row r="54" spans="2:25" ht="14.1" customHeight="1" x14ac:dyDescent="0.25">
      <c r="N54" s="72"/>
      <c r="O54" s="72"/>
      <c r="P54" s="72"/>
    </row>
    <row r="55" spans="2:25" ht="14.1" customHeight="1" x14ac:dyDescent="0.25">
      <c r="N55" s="334"/>
      <c r="O55" s="334"/>
      <c r="P55" s="334"/>
    </row>
    <row r="56" spans="2:25" ht="17.100000000000001" customHeight="1" thickBot="1" x14ac:dyDescent="0.3">
      <c r="B56" s="259" t="s">
        <v>60</v>
      </c>
      <c r="K56" s="259" t="s">
        <v>89</v>
      </c>
      <c r="N56" s="72"/>
      <c r="O56" s="72"/>
      <c r="P56" s="72"/>
    </row>
    <row r="57" spans="2:25" ht="17.100000000000001" customHeight="1" x14ac:dyDescent="0.25">
      <c r="B57" s="272" t="s">
        <v>61</v>
      </c>
      <c r="C57" s="273"/>
      <c r="D57" s="273"/>
      <c r="E57" s="274"/>
      <c r="K57" s="269" t="s">
        <v>82</v>
      </c>
      <c r="L57" s="270"/>
      <c r="M57" s="271"/>
      <c r="N57" s="72"/>
      <c r="O57" s="72"/>
      <c r="P57" s="72"/>
    </row>
    <row r="58" spans="2:25" ht="17.100000000000001" customHeight="1" x14ac:dyDescent="0.25">
      <c r="B58" s="38" t="s">
        <v>14</v>
      </c>
      <c r="C58" s="7" t="str">
        <f>D11</f>
        <v>ELKO</v>
      </c>
      <c r="D58" s="7" t="s">
        <v>18</v>
      </c>
      <c r="E58" s="57">
        <f>SUM(C92:F92)</f>
        <v>0</v>
      </c>
      <c r="K58" s="48" t="s">
        <v>83</v>
      </c>
      <c r="L58" s="49" t="s">
        <v>86</v>
      </c>
      <c r="M58" s="50" t="s">
        <v>84</v>
      </c>
      <c r="N58" s="333"/>
      <c r="O58" s="333"/>
      <c r="P58" s="72"/>
      <c r="Y58" s="337"/>
    </row>
    <row r="59" spans="2:25" ht="17.100000000000001" customHeight="1" x14ac:dyDescent="0.25">
      <c r="B59" s="38" t="s">
        <v>15</v>
      </c>
      <c r="C59" s="7" t="s">
        <v>62</v>
      </c>
      <c r="D59" s="7" t="s">
        <v>18</v>
      </c>
      <c r="E59" s="57">
        <f>SUM(C93:F93)</f>
        <v>0</v>
      </c>
      <c r="F59" s="329" t="s">
        <v>217</v>
      </c>
      <c r="G59" s="329"/>
      <c r="K59" s="51">
        <v>1</v>
      </c>
      <c r="L59" s="46">
        <f t="shared" ref="L59:L71" si="0">$E$85</f>
        <v>202359.81661000001</v>
      </c>
      <c r="M59" s="47">
        <f t="shared" ref="M59:M71" si="1">L59/((1+$M$76)^K59)</f>
        <v>194576.74674038461</v>
      </c>
      <c r="N59" s="333"/>
      <c r="O59" s="333"/>
      <c r="P59" s="72"/>
      <c r="Y59" s="337"/>
    </row>
    <row r="60" spans="2:25" ht="17.100000000000001" customHeight="1" x14ac:dyDescent="0.25">
      <c r="B60" s="38" t="s">
        <v>116</v>
      </c>
      <c r="C60" s="469" t="s">
        <v>234</v>
      </c>
      <c r="D60" s="7" t="s">
        <v>18</v>
      </c>
      <c r="E60" s="57">
        <f>SUM(C94:F94)</f>
        <v>0</v>
      </c>
      <c r="K60" s="51">
        <v>2</v>
      </c>
      <c r="L60" s="46">
        <f t="shared" si="0"/>
        <v>202359.81661000001</v>
      </c>
      <c r="M60" s="47">
        <f t="shared" si="1"/>
        <v>187093.02571190827</v>
      </c>
      <c r="N60" s="333"/>
      <c r="O60" s="333"/>
      <c r="P60" s="72"/>
      <c r="Y60" s="337"/>
    </row>
    <row r="61" spans="2:25" ht="17.100000000000001" customHeight="1" x14ac:dyDescent="0.25">
      <c r="B61" s="38" t="s">
        <v>65</v>
      </c>
      <c r="C61" s="7" t="str">
        <f>C58</f>
        <v>ELKO</v>
      </c>
      <c r="D61" s="7" t="s">
        <v>23</v>
      </c>
      <c r="E61" s="62">
        <f>D19</f>
        <v>76.73</v>
      </c>
      <c r="K61" s="51">
        <v>3</v>
      </c>
      <c r="L61" s="46">
        <f t="shared" si="0"/>
        <v>202359.81661000001</v>
      </c>
      <c r="M61" s="47">
        <f t="shared" si="1"/>
        <v>179897.14010760412</v>
      </c>
      <c r="N61" s="333"/>
      <c r="O61" s="333"/>
      <c r="P61" s="72"/>
      <c r="Y61" s="337"/>
    </row>
    <row r="62" spans="2:25" ht="17.100000000000001" customHeight="1" x14ac:dyDescent="0.25">
      <c r="B62" s="38" t="s">
        <v>66</v>
      </c>
      <c r="C62" s="7" t="str">
        <f t="shared" ref="C62:C63" si="2">C59</f>
        <v>EE za TČ</v>
      </c>
      <c r="D62" s="7" t="s">
        <v>23</v>
      </c>
      <c r="E62" s="62"/>
      <c r="K62" s="51">
        <v>4</v>
      </c>
      <c r="L62" s="46">
        <f t="shared" si="0"/>
        <v>202359.81661000001</v>
      </c>
      <c r="M62" s="47">
        <f t="shared" si="1"/>
        <v>172978.0193342347</v>
      </c>
      <c r="N62" s="333"/>
      <c r="O62" s="333"/>
      <c r="P62" s="72"/>
      <c r="Y62" s="337"/>
    </row>
    <row r="63" spans="2:25" ht="17.100000000000001" customHeight="1" x14ac:dyDescent="0.25">
      <c r="B63" s="38" t="s">
        <v>67</v>
      </c>
      <c r="C63" s="469" t="str">
        <f t="shared" si="2"/>
        <v>*vpiši energent</v>
      </c>
      <c r="D63" s="7" t="s">
        <v>23</v>
      </c>
      <c r="E63" s="62"/>
      <c r="F63" s="416"/>
      <c r="K63" s="51">
        <v>5</v>
      </c>
      <c r="L63" s="46">
        <f t="shared" si="0"/>
        <v>202359.81661000001</v>
      </c>
      <c r="M63" s="47">
        <f t="shared" si="1"/>
        <v>166325.01859061027</v>
      </c>
      <c r="N63" s="333"/>
      <c r="O63" s="333"/>
      <c r="P63" s="72"/>
      <c r="Y63" s="337"/>
    </row>
    <row r="64" spans="2:25" ht="17.100000000000001" customHeight="1" x14ac:dyDescent="0.25">
      <c r="B64" s="38" t="s">
        <v>68</v>
      </c>
      <c r="C64" s="7" t="str">
        <f>C58</f>
        <v>ELKO</v>
      </c>
      <c r="D64" s="7" t="s">
        <v>18</v>
      </c>
      <c r="E64" s="61">
        <f>D14-E58</f>
        <v>2149157</v>
      </c>
      <c r="K64" s="51">
        <v>6</v>
      </c>
      <c r="L64" s="46">
        <f t="shared" si="0"/>
        <v>202359.81661000001</v>
      </c>
      <c r="M64" s="47">
        <f t="shared" si="1"/>
        <v>159927.90249097141</v>
      </c>
      <c r="N64" s="333"/>
      <c r="O64" s="333"/>
      <c r="P64" s="72"/>
      <c r="Y64" s="337"/>
    </row>
    <row r="65" spans="2:25" ht="17.100000000000001" customHeight="1" x14ac:dyDescent="0.25">
      <c r="B65" s="38" t="s">
        <v>69</v>
      </c>
      <c r="C65" s="7" t="str">
        <f t="shared" ref="C65:C66" si="3">C59</f>
        <v>EE za TČ</v>
      </c>
      <c r="D65" s="7" t="s">
        <v>18</v>
      </c>
      <c r="E65" s="61">
        <f>(-1)*E59</f>
        <v>0</v>
      </c>
      <c r="K65" s="51">
        <v>7</v>
      </c>
      <c r="L65" s="46">
        <f t="shared" si="0"/>
        <v>202359.81661000001</v>
      </c>
      <c r="M65" s="47">
        <f t="shared" si="1"/>
        <v>153776.82931824177</v>
      </c>
      <c r="N65" s="333"/>
      <c r="O65" s="333"/>
      <c r="P65" s="72"/>
      <c r="Y65" s="337"/>
    </row>
    <row r="66" spans="2:25" ht="17.100000000000001" customHeight="1" x14ac:dyDescent="0.25">
      <c r="B66" s="38" t="s">
        <v>70</v>
      </c>
      <c r="C66" s="469" t="str">
        <f t="shared" si="3"/>
        <v>*vpiši energent</v>
      </c>
      <c r="D66" s="7" t="s">
        <v>18</v>
      </c>
      <c r="E66" s="61">
        <f>(-1)*E60</f>
        <v>0</v>
      </c>
      <c r="K66" s="51">
        <v>8</v>
      </c>
      <c r="L66" s="46">
        <f t="shared" si="0"/>
        <v>202359.81661000001</v>
      </c>
      <c r="M66" s="47">
        <f t="shared" si="1"/>
        <v>147862.33588292476</v>
      </c>
      <c r="N66" s="333"/>
      <c r="O66" s="333"/>
      <c r="P66" s="72"/>
      <c r="Y66" s="337"/>
    </row>
    <row r="67" spans="2:25" ht="17.100000000000001" customHeight="1" x14ac:dyDescent="0.25">
      <c r="B67" s="38" t="s">
        <v>71</v>
      </c>
      <c r="C67" s="5"/>
      <c r="D67" s="7" t="s">
        <v>24</v>
      </c>
      <c r="E67" s="63">
        <f>(E58*E61+E59*E62+E60*E63)/1000</f>
        <v>0</v>
      </c>
      <c r="K67" s="51">
        <v>9</v>
      </c>
      <c r="L67" s="46">
        <f t="shared" si="0"/>
        <v>202359.81661000001</v>
      </c>
      <c r="M67" s="47">
        <f t="shared" si="1"/>
        <v>142175.32296435069</v>
      </c>
      <c r="N67" s="333"/>
      <c r="O67" s="333"/>
      <c r="P67" s="72"/>
      <c r="Y67" s="337"/>
    </row>
    <row r="68" spans="2:25" ht="17.100000000000001" customHeight="1" x14ac:dyDescent="0.25">
      <c r="B68" s="154" t="s">
        <v>79</v>
      </c>
      <c r="C68" s="155"/>
      <c r="D68" s="7" t="s">
        <v>24</v>
      </c>
      <c r="E68" s="63">
        <f>D22+-E67</f>
        <v>164904.81661000001</v>
      </c>
      <c r="K68" s="51">
        <v>10</v>
      </c>
      <c r="L68" s="46">
        <f t="shared" si="0"/>
        <v>202359.81661000001</v>
      </c>
      <c r="M68" s="47">
        <f t="shared" si="1"/>
        <v>136707.04131187568</v>
      </c>
      <c r="N68" s="333"/>
      <c r="O68" s="333"/>
      <c r="P68" s="72"/>
      <c r="Y68" s="337"/>
    </row>
    <row r="69" spans="2:25" ht="17.100000000000001" customHeight="1" thickBot="1" x14ac:dyDescent="0.3">
      <c r="B69" s="156" t="s">
        <v>101</v>
      </c>
      <c r="C69" s="157"/>
      <c r="D69" s="55" t="s">
        <v>73</v>
      </c>
      <c r="E69" s="167">
        <f>E68/D22</f>
        <v>1</v>
      </c>
      <c r="K69" s="51">
        <v>11</v>
      </c>
      <c r="L69" s="46">
        <f t="shared" si="0"/>
        <v>202359.81661000001</v>
      </c>
      <c r="M69" s="47">
        <f t="shared" si="1"/>
        <v>131449.07818449585</v>
      </c>
      <c r="N69" s="333"/>
      <c r="O69" s="333"/>
      <c r="P69" s="72"/>
      <c r="Y69" s="337"/>
    </row>
    <row r="70" spans="2:25" ht="14.1" customHeight="1" thickBot="1" x14ac:dyDescent="0.3">
      <c r="B70" s="1"/>
      <c r="C70" s="1"/>
      <c r="D70" s="1"/>
      <c r="E70" s="1"/>
      <c r="K70" s="51">
        <v>12</v>
      </c>
      <c r="L70" s="46">
        <f t="shared" si="0"/>
        <v>202359.81661000001</v>
      </c>
      <c r="M70" s="47">
        <f t="shared" si="1"/>
        <v>126393.34440816907</v>
      </c>
      <c r="N70" s="333"/>
      <c r="O70" s="333"/>
      <c r="P70" s="72"/>
      <c r="Y70" s="337"/>
    </row>
    <row r="71" spans="2:25" ht="17.100000000000001" customHeight="1" x14ac:dyDescent="0.25">
      <c r="B71" s="275" t="s">
        <v>76</v>
      </c>
      <c r="C71" s="276"/>
      <c r="D71" s="276"/>
      <c r="E71" s="277"/>
      <c r="K71" s="51">
        <v>13</v>
      </c>
      <c r="L71" s="46">
        <f t="shared" si="0"/>
        <v>202359.81661000001</v>
      </c>
      <c r="M71" s="47">
        <f t="shared" si="1"/>
        <v>121532.06193093178</v>
      </c>
      <c r="N71" s="333"/>
      <c r="O71" s="333"/>
      <c r="P71" s="72"/>
      <c r="Y71" s="337"/>
    </row>
    <row r="72" spans="2:25" ht="17.100000000000001" customHeight="1" x14ac:dyDescent="0.25">
      <c r="B72" s="40" t="s">
        <v>74</v>
      </c>
      <c r="C72" s="8" t="s">
        <v>75</v>
      </c>
      <c r="D72" s="8" t="s">
        <v>18</v>
      </c>
      <c r="E72" s="61">
        <f>SUM(C97:G97)</f>
        <v>550273</v>
      </c>
      <c r="K72" s="51">
        <v>14</v>
      </c>
      <c r="L72" s="46">
        <f>$E$85</f>
        <v>202359.81661000001</v>
      </c>
      <c r="M72" s="47">
        <f>L72/((1+$M$76)^K72)</f>
        <v>116857.75185666519</v>
      </c>
      <c r="N72" s="333"/>
      <c r="O72" s="333"/>
      <c r="P72" s="334"/>
      <c r="Y72" s="337"/>
    </row>
    <row r="73" spans="2:25" ht="17.100000000000001" customHeight="1" x14ac:dyDescent="0.25">
      <c r="B73" s="40" t="s">
        <v>32</v>
      </c>
      <c r="C73" s="8" t="str">
        <f>C72</f>
        <v>EE</v>
      </c>
      <c r="D73" s="8" t="s">
        <v>23</v>
      </c>
      <c r="E73" s="62">
        <f>D32</f>
        <v>108.49</v>
      </c>
      <c r="K73" s="51">
        <v>15</v>
      </c>
      <c r="L73" s="46">
        <f>$E$85</f>
        <v>202359.81661000001</v>
      </c>
      <c r="M73" s="47">
        <f>L73/((1+$M$76)^K73)</f>
        <v>112363.22293910114</v>
      </c>
      <c r="N73" s="333"/>
      <c r="O73" s="333"/>
      <c r="P73" s="72"/>
      <c r="Y73" s="337"/>
    </row>
    <row r="74" spans="2:25" ht="17.100000000000001" customHeight="1" thickBot="1" x14ac:dyDescent="0.3">
      <c r="B74" s="40" t="s">
        <v>77</v>
      </c>
      <c r="C74" s="8" t="str">
        <f>C72</f>
        <v>EE</v>
      </c>
      <c r="D74" s="8" t="s">
        <v>18</v>
      </c>
      <c r="E74" s="61">
        <f>D26-E72</f>
        <v>0</v>
      </c>
      <c r="K74" s="261" t="s">
        <v>85</v>
      </c>
      <c r="L74" s="262"/>
      <c r="M74" s="129">
        <f>SUM(M59:M73)</f>
        <v>2249914.8417724692</v>
      </c>
      <c r="N74" s="72"/>
      <c r="O74" s="72"/>
      <c r="P74" s="72"/>
      <c r="Y74" s="338"/>
    </row>
    <row r="75" spans="2:25" ht="17.100000000000001" customHeight="1" x14ac:dyDescent="0.25">
      <c r="B75" s="40" t="s">
        <v>78</v>
      </c>
      <c r="C75" s="8" t="s">
        <v>75</v>
      </c>
      <c r="D75" s="8" t="s">
        <v>24</v>
      </c>
      <c r="E75" s="63">
        <f>E72*E73/1000</f>
        <v>59699.117769999997</v>
      </c>
      <c r="K75" s="263"/>
      <c r="L75" s="264"/>
      <c r="M75" s="265"/>
      <c r="N75" s="72"/>
      <c r="O75" s="72"/>
      <c r="P75" s="72"/>
      <c r="Y75" s="338"/>
    </row>
    <row r="76" spans="2:25" ht="17.100000000000001" customHeight="1" thickBot="1" x14ac:dyDescent="0.3">
      <c r="B76" s="40" t="s">
        <v>79</v>
      </c>
      <c r="C76" s="8" t="str">
        <f>C75</f>
        <v>EE</v>
      </c>
      <c r="D76" s="8" t="s">
        <v>24</v>
      </c>
      <c r="E76" s="63">
        <f>D35-E75</f>
        <v>0</v>
      </c>
      <c r="K76" s="52" t="s">
        <v>87</v>
      </c>
      <c r="L76" s="53"/>
      <c r="M76" s="54">
        <v>0.04</v>
      </c>
      <c r="N76" s="72"/>
      <c r="O76" s="72"/>
      <c r="P76" s="72"/>
      <c r="Y76" s="338"/>
    </row>
    <row r="77" spans="2:25" ht="17.100000000000001" customHeight="1" thickBot="1" x14ac:dyDescent="0.3">
      <c r="B77" s="41" t="s">
        <v>102</v>
      </c>
      <c r="C77" s="56" t="str">
        <f>C75</f>
        <v>EE</v>
      </c>
      <c r="D77" s="56" t="s">
        <v>73</v>
      </c>
      <c r="E77" s="167">
        <f>E76/D35</f>
        <v>0</v>
      </c>
      <c r="L77" s="332"/>
      <c r="N77" s="336"/>
      <c r="O77" s="336"/>
      <c r="P77" s="72"/>
      <c r="Y77" s="339"/>
    </row>
    <row r="78" spans="2:25" ht="14.1" customHeight="1" thickBot="1" x14ac:dyDescent="0.3">
      <c r="B78" s="1"/>
      <c r="C78" s="1"/>
      <c r="D78" s="1"/>
      <c r="E78" s="1"/>
      <c r="N78" s="72"/>
      <c r="O78" s="72"/>
      <c r="P78" s="72"/>
    </row>
    <row r="79" spans="2:25" ht="17.100000000000001" customHeight="1" x14ac:dyDescent="0.25">
      <c r="B79" s="278" t="s">
        <v>37</v>
      </c>
      <c r="C79" s="279"/>
      <c r="D79" s="279"/>
      <c r="E79" s="280"/>
      <c r="N79" s="435"/>
      <c r="O79" s="435"/>
      <c r="P79" s="435"/>
    </row>
    <row r="80" spans="2:25" ht="28.35" customHeight="1" x14ac:dyDescent="0.25">
      <c r="B80" s="436" t="s">
        <v>80</v>
      </c>
      <c r="C80" s="437"/>
      <c r="D80" s="9" t="s">
        <v>24</v>
      </c>
      <c r="E80" s="313">
        <v>0</v>
      </c>
      <c r="N80" s="72"/>
      <c r="O80" s="72"/>
      <c r="P80" s="72"/>
    </row>
    <row r="81" spans="2:19" ht="28.35" customHeight="1" x14ac:dyDescent="0.25">
      <c r="B81" s="436" t="s">
        <v>81</v>
      </c>
      <c r="C81" s="437"/>
      <c r="D81" s="9" t="s">
        <v>24</v>
      </c>
      <c r="E81" s="63">
        <f>D37-E80</f>
        <v>37455</v>
      </c>
      <c r="I81" s="260"/>
      <c r="J81" s="260"/>
      <c r="K81" s="260"/>
      <c r="L81" s="260"/>
      <c r="M81" s="260"/>
      <c r="N81" s="72"/>
      <c r="O81" s="72"/>
      <c r="P81" s="72"/>
    </row>
    <row r="82" spans="2:19" ht="28.35" customHeight="1" thickBot="1" x14ac:dyDescent="0.3">
      <c r="B82" s="438" t="s">
        <v>105</v>
      </c>
      <c r="C82" s="439"/>
      <c r="D82" s="43" t="s">
        <v>73</v>
      </c>
      <c r="E82" s="167">
        <f>E81/D37</f>
        <v>1</v>
      </c>
      <c r="I82" s="260"/>
      <c r="J82" s="260"/>
      <c r="K82" s="260"/>
      <c r="L82" s="260"/>
      <c r="M82" s="260"/>
      <c r="N82" s="72"/>
      <c r="O82" s="72"/>
      <c r="P82" s="260"/>
      <c r="Q82" s="260"/>
      <c r="R82" s="260"/>
      <c r="S82" s="260"/>
    </row>
    <row r="83" spans="2:19" ht="14.1" customHeight="1" thickBot="1" x14ac:dyDescent="0.3">
      <c r="B83" s="1"/>
      <c r="C83" s="1"/>
      <c r="D83" s="1"/>
      <c r="E83" s="1"/>
      <c r="N83" s="72"/>
      <c r="O83" s="72"/>
      <c r="P83" s="260"/>
      <c r="Q83" s="260"/>
      <c r="R83" s="260"/>
      <c r="S83" s="260"/>
    </row>
    <row r="84" spans="2:19" ht="17.100000000000001" customHeight="1" x14ac:dyDescent="0.25">
      <c r="B84" s="266" t="s">
        <v>96</v>
      </c>
      <c r="C84" s="267"/>
      <c r="D84" s="267"/>
      <c r="E84" s="268"/>
      <c r="N84" s="72"/>
      <c r="O84" s="72"/>
      <c r="P84" s="72"/>
    </row>
    <row r="85" spans="2:19" ht="17.100000000000001" customHeight="1" x14ac:dyDescent="0.25">
      <c r="B85" s="165" t="s">
        <v>103</v>
      </c>
      <c r="C85" s="164"/>
      <c r="D85" s="44" t="s">
        <v>24</v>
      </c>
      <c r="E85" s="166">
        <f>E68+E76+E81</f>
        <v>202359.81661000001</v>
      </c>
      <c r="N85" s="72"/>
      <c r="O85" s="72"/>
      <c r="P85" s="72"/>
    </row>
    <row r="86" spans="2:19" ht="17.100000000000001" customHeight="1" x14ac:dyDescent="0.25">
      <c r="B86" s="160" t="s">
        <v>104</v>
      </c>
      <c r="C86" s="161"/>
      <c r="D86" s="44" t="s">
        <v>73</v>
      </c>
      <c r="E86" s="287">
        <f>E85/D40</f>
        <v>0.77219201508530544</v>
      </c>
      <c r="N86" s="72"/>
      <c r="O86" s="72"/>
      <c r="P86" s="72"/>
    </row>
    <row r="87" spans="2:19" ht="17.100000000000001" customHeight="1" thickBot="1" x14ac:dyDescent="0.3">
      <c r="B87" s="162" t="s">
        <v>97</v>
      </c>
      <c r="C87" s="163"/>
      <c r="D87" s="45" t="s">
        <v>24</v>
      </c>
      <c r="E87" s="64">
        <f>M74</f>
        <v>2249914.8417724692</v>
      </c>
      <c r="N87" s="72"/>
      <c r="O87" s="72"/>
      <c r="P87" s="72"/>
    </row>
    <row r="88" spans="2:19" ht="14.1" customHeight="1" x14ac:dyDescent="0.25">
      <c r="B88" s="332"/>
      <c r="D88" s="332"/>
      <c r="E88" s="335"/>
      <c r="N88" s="72"/>
      <c r="O88" s="72"/>
      <c r="P88" s="72"/>
    </row>
    <row r="89" spans="2:19" ht="14.1" customHeight="1" x14ac:dyDescent="0.25">
      <c r="N89" s="72"/>
      <c r="O89" s="72"/>
      <c r="P89" s="72"/>
    </row>
    <row r="90" spans="2:19" ht="17.100000000000001" customHeight="1" thickBot="1" x14ac:dyDescent="0.3">
      <c r="B90" s="259" t="s">
        <v>115</v>
      </c>
      <c r="C90" s="310" t="s">
        <v>213</v>
      </c>
      <c r="N90" s="72"/>
      <c r="O90" s="72"/>
      <c r="P90" s="72"/>
    </row>
    <row r="91" spans="2:19" ht="17.100000000000001" customHeight="1" x14ac:dyDescent="0.25">
      <c r="B91" s="37" t="s">
        <v>118</v>
      </c>
      <c r="C91" s="138" t="s">
        <v>111</v>
      </c>
      <c r="D91" s="138" t="s">
        <v>110</v>
      </c>
      <c r="E91" s="138" t="s">
        <v>112</v>
      </c>
      <c r="F91" s="139" t="s">
        <v>114</v>
      </c>
      <c r="G91" s="206"/>
      <c r="N91" s="72"/>
      <c r="O91" s="72"/>
      <c r="P91" s="72"/>
    </row>
    <row r="92" spans="2:19" ht="17.100000000000001" customHeight="1" x14ac:dyDescent="0.25">
      <c r="B92" s="20" t="s">
        <v>14</v>
      </c>
      <c r="C92" s="385"/>
      <c r="D92" s="385"/>
      <c r="E92" s="385"/>
      <c r="F92" s="386"/>
      <c r="G92" s="330"/>
      <c r="N92" s="72"/>
      <c r="O92" s="72"/>
      <c r="P92" s="72"/>
    </row>
    <row r="93" spans="2:19" ht="17.100000000000001" customHeight="1" x14ac:dyDescent="0.25">
      <c r="B93" s="20" t="s">
        <v>15</v>
      </c>
      <c r="C93" s="385"/>
      <c r="D93" s="385"/>
      <c r="E93" s="385"/>
      <c r="F93" s="386"/>
      <c r="G93" s="330"/>
      <c r="N93" s="72"/>
      <c r="O93" s="72"/>
      <c r="P93" s="72"/>
    </row>
    <row r="94" spans="2:19" ht="17.100000000000001" customHeight="1" thickBot="1" x14ac:dyDescent="0.3">
      <c r="B94" s="101" t="s">
        <v>116</v>
      </c>
      <c r="C94" s="387"/>
      <c r="D94" s="387"/>
      <c r="E94" s="387"/>
      <c r="F94" s="388"/>
      <c r="G94" s="331"/>
      <c r="N94" s="72"/>
      <c r="O94" s="260"/>
      <c r="P94" s="260"/>
      <c r="Q94" s="260"/>
      <c r="R94" s="260"/>
      <c r="S94" s="260"/>
    </row>
    <row r="95" spans="2:19" ht="14.1" customHeight="1" thickBot="1" x14ac:dyDescent="0.3">
      <c r="N95" s="72"/>
      <c r="O95" s="72"/>
      <c r="P95" s="72"/>
    </row>
    <row r="96" spans="2:19" ht="17.100000000000001" customHeight="1" x14ac:dyDescent="0.25">
      <c r="B96" s="39" t="s">
        <v>119</v>
      </c>
      <c r="C96" s="284" t="s">
        <v>169</v>
      </c>
      <c r="D96" s="140" t="s">
        <v>110</v>
      </c>
      <c r="E96" s="140" t="s">
        <v>112</v>
      </c>
      <c r="F96" s="140" t="s">
        <v>120</v>
      </c>
      <c r="G96" s="141" t="s">
        <v>114</v>
      </c>
      <c r="N96" s="435"/>
      <c r="O96" s="435"/>
      <c r="P96" s="72"/>
    </row>
    <row r="97" spans="2:16" ht="17.100000000000001" customHeight="1" thickBot="1" x14ac:dyDescent="0.3">
      <c r="B97" s="227" t="s">
        <v>75</v>
      </c>
      <c r="C97" s="219">
        <v>0</v>
      </c>
      <c r="D97" s="219">
        <f>D28</f>
        <v>0</v>
      </c>
      <c r="E97" s="219">
        <f>D29</f>
        <v>207910</v>
      </c>
      <c r="F97" s="219">
        <f>D30</f>
        <v>93640</v>
      </c>
      <c r="G97" s="309">
        <f>D31</f>
        <v>248723</v>
      </c>
      <c r="N97" s="435"/>
      <c r="O97" s="435"/>
      <c r="P97" s="435"/>
    </row>
    <row r="98" spans="2:16" ht="14.1" customHeight="1" x14ac:dyDescent="0.25">
      <c r="C98" s="310"/>
      <c r="N98" s="72"/>
      <c r="O98" s="72"/>
      <c r="P98" s="72"/>
    </row>
    <row r="99" spans="2:16" ht="14.1" customHeight="1" x14ac:dyDescent="0.25">
      <c r="N99" s="72"/>
      <c r="O99" s="72"/>
      <c r="P99" s="72"/>
    </row>
    <row r="100" spans="2:16" ht="14.1" customHeight="1" x14ac:dyDescent="0.2"/>
    <row r="101" spans="2:16" ht="14.1" customHeight="1" x14ac:dyDescent="0.2"/>
    <row r="102" spans="2:16" ht="14.1" customHeight="1" x14ac:dyDescent="0.2"/>
    <row r="103" spans="2:16" ht="14.1" customHeight="1" x14ac:dyDescent="0.2"/>
    <row r="104" spans="2:16" ht="14.1" customHeight="1" x14ac:dyDescent="0.2"/>
    <row r="105" spans="2:16" ht="14.1" customHeight="1" x14ac:dyDescent="0.2"/>
    <row r="106" spans="2:16" ht="14.1" customHeight="1" x14ac:dyDescent="0.2"/>
    <row r="107" spans="2:16" ht="14.1" customHeight="1" x14ac:dyDescent="0.2"/>
    <row r="108" spans="2:16" ht="14.1" customHeight="1" x14ac:dyDescent="0.2"/>
    <row r="109" spans="2:16" ht="14.1" customHeight="1" x14ac:dyDescent="0.2"/>
    <row r="110" spans="2:16" ht="14.1" customHeight="1" x14ac:dyDescent="0.2"/>
    <row r="111" spans="2:16" ht="14.1" customHeight="1" x14ac:dyDescent="0.2"/>
    <row r="112" spans="2:16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</sheetData>
  <mergeCells count="29">
    <mergeCell ref="K18:M18"/>
    <mergeCell ref="K19:M19"/>
    <mergeCell ref="K20:M20"/>
    <mergeCell ref="K13:M13"/>
    <mergeCell ref="K14:M14"/>
    <mergeCell ref="K15:M15"/>
    <mergeCell ref="K16:M16"/>
    <mergeCell ref="K17:M17"/>
    <mergeCell ref="N79:P79"/>
    <mergeCell ref="N96:O96"/>
    <mergeCell ref="B80:C80"/>
    <mergeCell ref="B81:C81"/>
    <mergeCell ref="B82:C82"/>
    <mergeCell ref="N97:P97"/>
    <mergeCell ref="B6:C6"/>
    <mergeCell ref="B7:C7"/>
    <mergeCell ref="B8:C8"/>
    <mergeCell ref="K32:M32"/>
    <mergeCell ref="K25:M25"/>
    <mergeCell ref="K26:M26"/>
    <mergeCell ref="K27:M27"/>
    <mergeCell ref="K28:M28"/>
    <mergeCell ref="K29:M29"/>
    <mergeCell ref="K30:M30"/>
    <mergeCell ref="K21:M21"/>
    <mergeCell ref="K22:M22"/>
    <mergeCell ref="K23:M23"/>
    <mergeCell ref="K31:M31"/>
    <mergeCell ref="K24:M24"/>
  </mergeCells>
  <phoneticPr fontId="24" type="noConversion"/>
  <pageMargins left="0.7" right="0.7" top="0.75" bottom="0.75" header="0.3" footer="0.3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'Osnovni podatki'!$B$6:$B$15</xm:f>
          </x14:formula1>
          <xm:sqref>D6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919F8-4A1B-4540-BCF9-F8754BC2250A}">
  <sheetPr>
    <tabColor rgb="FFFFFF00"/>
  </sheetPr>
  <dimension ref="B1:Y214"/>
  <sheetViews>
    <sheetView showWhiteSpace="0" topLeftCell="A7" zoomScaleNormal="100" workbookViewId="0">
      <selection activeCell="K99" sqref="K99"/>
    </sheetView>
  </sheetViews>
  <sheetFormatPr defaultColWidth="9.140625" defaultRowHeight="12.75" x14ac:dyDescent="0.2"/>
  <cols>
    <col min="1" max="1" width="4.85546875" style="69" customWidth="1"/>
    <col min="2" max="2" width="32.5703125" style="69" customWidth="1"/>
    <col min="3" max="8" width="15" style="69" customWidth="1"/>
    <col min="9" max="9" width="12.7109375" style="69" customWidth="1"/>
    <col min="10" max="11" width="14.7109375" style="69" customWidth="1"/>
    <col min="12" max="12" width="12.7109375" style="69" customWidth="1"/>
    <col min="13" max="13" width="16.28515625" style="69" customWidth="1"/>
    <col min="14" max="14" width="18.42578125" style="69" customWidth="1"/>
    <col min="15" max="15" width="14.7109375" style="69" bestFit="1" customWidth="1"/>
    <col min="16" max="16" width="9.140625" style="69" customWidth="1"/>
    <col min="17" max="24" width="9.140625" style="69"/>
    <col min="25" max="25" width="14.5703125" style="69" bestFit="1" customWidth="1"/>
    <col min="26" max="16384" width="9.140625" style="69"/>
  </cols>
  <sheetData>
    <row r="1" spans="2:14" ht="14.1" customHeight="1" x14ac:dyDescent="0.2"/>
    <row r="2" spans="2:14" ht="28.35" customHeight="1" x14ac:dyDescent="0.2">
      <c r="B2" s="74" t="s">
        <v>51</v>
      </c>
    </row>
    <row r="3" spans="2:14" ht="14.1" customHeight="1" x14ac:dyDescent="0.2"/>
    <row r="4" spans="2:14" ht="19.7" customHeight="1" thickBot="1" x14ac:dyDescent="0.25">
      <c r="B4" s="367" t="s">
        <v>9</v>
      </c>
    </row>
    <row r="5" spans="2:14" ht="17.100000000000001" customHeight="1" x14ac:dyDescent="0.2">
      <c r="B5" s="26" t="s">
        <v>52</v>
      </c>
      <c r="C5" s="27"/>
      <c r="D5" s="28"/>
    </row>
    <row r="6" spans="2:14" ht="17.100000000000001" customHeight="1" x14ac:dyDescent="0.2">
      <c r="B6" s="424" t="s">
        <v>5</v>
      </c>
      <c r="C6" s="425"/>
      <c r="D6" s="11">
        <v>2</v>
      </c>
    </row>
    <row r="7" spans="2:14" ht="17.100000000000001" customHeight="1" x14ac:dyDescent="0.2">
      <c r="B7" s="424" t="s">
        <v>4</v>
      </c>
      <c r="C7" s="425"/>
      <c r="D7" s="11" t="str">
        <f>INDEX('Referenčne količine'!$B$4:$E$14,MATCH(B7,('Referenčne količine'!$B$4:$B$14),0),MATCH($D$6,'Referenčne količine'!$B$5:$E$5,0))</f>
        <v>OB02</v>
      </c>
    </row>
    <row r="8" spans="2:14" ht="42.6" customHeight="1" x14ac:dyDescent="0.2">
      <c r="B8" s="424" t="s">
        <v>3</v>
      </c>
      <c r="C8" s="425"/>
      <c r="D8" s="65" t="str">
        <f>INDEX('Referenčne količine'!$B$4:$E$14,MATCH(B8,('Referenčne količine'!$B$4:$B$14),0),MATCH($D$6,'Referenčne količine'!$B$5:$E$5,0))</f>
        <v>DD Vič - Stara uprava</v>
      </c>
    </row>
    <row r="9" spans="2:14" ht="17.100000000000001" customHeight="1" x14ac:dyDescent="0.2">
      <c r="B9" s="21" t="s">
        <v>19</v>
      </c>
      <c r="C9" s="14" t="s">
        <v>64</v>
      </c>
      <c r="D9" s="11">
        <f>INDEX('Referenčne količine'!$B$4:$E$14,MATCH(B9,('Referenčne količine'!$B$4:$B$14),0),MATCH($D$6,'Referenčne količine'!$B$5:$E$5,0))</f>
        <v>731</v>
      </c>
    </row>
    <row r="10" spans="2:14" ht="17.100000000000001" customHeight="1" thickBot="1" x14ac:dyDescent="0.25">
      <c r="B10" s="12" t="s">
        <v>53</v>
      </c>
      <c r="C10" s="29"/>
      <c r="D10" s="30"/>
      <c r="K10" s="367" t="s">
        <v>55</v>
      </c>
    </row>
    <row r="11" spans="2:14" ht="17.100000000000001" customHeight="1" x14ac:dyDescent="0.2">
      <c r="B11" s="242" t="s">
        <v>14</v>
      </c>
      <c r="C11" s="19"/>
      <c r="D11" s="11" t="str">
        <f>INDEX('Referenčne količine'!$B$15:$E$27,MATCH(B11,('Referenčne količine'!$B$15:$B$27),0),MATCH($D$6,'Referenčne količine'!$B$5:$E$5,0))</f>
        <v>ELKO</v>
      </c>
      <c r="K11" s="319" t="s">
        <v>55</v>
      </c>
      <c r="L11" s="320"/>
      <c r="M11" s="321"/>
      <c r="N11" s="116" t="str">
        <f>D7</f>
        <v>OB02</v>
      </c>
    </row>
    <row r="12" spans="2:14" ht="17.100000000000001" customHeight="1" x14ac:dyDescent="0.2">
      <c r="B12" s="20" t="s">
        <v>25</v>
      </c>
      <c r="C12" s="15" t="s">
        <v>18</v>
      </c>
      <c r="D12" s="57">
        <f>INDEX('Referenčne količine'!$B$15:$E$27,MATCH(B12,('Referenčne količine'!$B$15:$B$27),0),MATCH($D$6,'Referenčne količine'!$B$5:$E$5,0))</f>
        <v>107193</v>
      </c>
      <c r="K12" s="209" t="s">
        <v>56</v>
      </c>
      <c r="L12" s="210"/>
      <c r="M12" s="211"/>
      <c r="N12" s="117" t="s">
        <v>58</v>
      </c>
    </row>
    <row r="13" spans="2:14" ht="17.100000000000001" customHeight="1" x14ac:dyDescent="0.2">
      <c r="B13" s="20" t="s">
        <v>26</v>
      </c>
      <c r="C13" s="15" t="s">
        <v>18</v>
      </c>
      <c r="D13" s="57">
        <f>INDEX('Referenčne količine'!$B$15:$E$27,MATCH(B13,('Referenčne količine'!$B$15:$B$27),0),MATCH($D$6,'Referenčne količine'!$B$5:$E$5,0))</f>
        <v>0</v>
      </c>
      <c r="K13" s="440"/>
      <c r="L13" s="441"/>
      <c r="M13" s="442"/>
      <c r="N13" s="380"/>
    </row>
    <row r="14" spans="2:14" ht="17.100000000000001" customHeight="1" x14ac:dyDescent="0.2">
      <c r="B14" s="20" t="s">
        <v>27</v>
      </c>
      <c r="C14" s="15" t="s">
        <v>18</v>
      </c>
      <c r="D14" s="57">
        <f>INDEX('Referenčne količine'!$B$15:$E$27,MATCH(B14,('Referenčne količine'!$B$15:$B$27),0),MATCH($D$6,'Referenčne količine'!$B$5:$E$5,0))</f>
        <v>107193</v>
      </c>
      <c r="K14" s="440"/>
      <c r="L14" s="441"/>
      <c r="M14" s="442"/>
      <c r="N14" s="380"/>
    </row>
    <row r="15" spans="2:14" ht="17.100000000000001" customHeight="1" x14ac:dyDescent="0.2">
      <c r="B15" s="20" t="s">
        <v>28</v>
      </c>
      <c r="C15" s="15" t="s">
        <v>18</v>
      </c>
      <c r="D15" s="57">
        <f>INDEX('Referenčne količine'!$B$15:$E$27,MATCH(B15,('Referenčne količine'!$B$15:$B$27),0),MATCH($D$6,'Referenčne količine'!$B$5:$E$5,0))</f>
        <v>107193</v>
      </c>
      <c r="K15" s="440"/>
      <c r="L15" s="441"/>
      <c r="M15" s="442"/>
      <c r="N15" s="380"/>
    </row>
    <row r="16" spans="2:14" ht="17.100000000000001" customHeight="1" x14ac:dyDescent="0.2">
      <c r="B16" s="20" t="s">
        <v>29</v>
      </c>
      <c r="C16" s="15" t="s">
        <v>18</v>
      </c>
      <c r="D16" s="57">
        <f>INDEX('Referenčne količine'!$B$15:$E$27,MATCH(B16,('Referenčne količine'!$B$15:$B$27),0),MATCH($D$6,'Referenčne količine'!$B$5:$E$5,0))</f>
        <v>0</v>
      </c>
      <c r="K16" s="440"/>
      <c r="L16" s="441"/>
      <c r="M16" s="442"/>
      <c r="N16" s="380"/>
    </row>
    <row r="17" spans="2:14" ht="17.100000000000001" customHeight="1" x14ac:dyDescent="0.2">
      <c r="B17" s="20" t="s">
        <v>30</v>
      </c>
      <c r="C17" s="15" t="s">
        <v>18</v>
      </c>
      <c r="D17" s="57">
        <f>INDEX('Referenčne količine'!$B$15:$E$27,MATCH(B17,('Referenčne količine'!$B$15:$B$27),0),MATCH($D$6,'Referenčne količine'!$B$5:$E$5,0))</f>
        <v>0</v>
      </c>
      <c r="K17" s="440"/>
      <c r="L17" s="441"/>
      <c r="M17" s="442"/>
      <c r="N17" s="380"/>
    </row>
    <row r="18" spans="2:14" ht="17.100000000000001" customHeight="1" x14ac:dyDescent="0.2">
      <c r="B18" s="20" t="s">
        <v>31</v>
      </c>
      <c r="C18" s="15" t="s">
        <v>18</v>
      </c>
      <c r="D18" s="57">
        <f>INDEX('Referenčne količine'!$B$15:$E$27,MATCH(B18,('Referenčne količine'!$B$15:$B$27),0),MATCH($D$6,'Referenčne količine'!$B$5:$E$5,0))</f>
        <v>0</v>
      </c>
      <c r="K18" s="443"/>
      <c r="L18" s="444"/>
      <c r="M18" s="445"/>
      <c r="N18" s="312"/>
    </row>
    <row r="19" spans="2:14" ht="17.100000000000001" customHeight="1" x14ac:dyDescent="0.25">
      <c r="B19" s="20" t="s">
        <v>32</v>
      </c>
      <c r="C19" s="15" t="s">
        <v>23</v>
      </c>
      <c r="D19" s="58">
        <f>INDEX('Referenčne količine'!$B$15:$E$27,MATCH(B19,('Referenčne količine'!$B$15:$B$27),0),MATCH($D$6,'Referenčne količine'!$B$5:$E$5,0))</f>
        <v>76.73</v>
      </c>
      <c r="E19" s="368"/>
      <c r="K19" s="443"/>
      <c r="L19" s="444"/>
      <c r="M19" s="445"/>
      <c r="N19" s="312"/>
    </row>
    <row r="20" spans="2:14" ht="17.100000000000001" customHeight="1" x14ac:dyDescent="0.2">
      <c r="B20" s="20" t="s">
        <v>33</v>
      </c>
      <c r="C20" s="15" t="s">
        <v>24</v>
      </c>
      <c r="D20" s="59">
        <f>INDEX('Referenčne količine'!$B$15:$E$27,MATCH(B20,('Referenčne količine'!$B$15:$B$27),0),MATCH($D$6,'Referenčne količine'!$B$5:$E$5,0))</f>
        <v>8224.9188900000008</v>
      </c>
      <c r="K20" s="443"/>
      <c r="L20" s="444"/>
      <c r="M20" s="445"/>
      <c r="N20" s="312"/>
    </row>
    <row r="21" spans="2:14" ht="17.100000000000001" customHeight="1" x14ac:dyDescent="0.2">
      <c r="B21" s="20" t="s">
        <v>34</v>
      </c>
      <c r="C21" s="15" t="s">
        <v>24</v>
      </c>
      <c r="D21" s="59">
        <f>INDEX('Referenčne količine'!$B$15:$E$27,MATCH(B21,('Referenčne količine'!$B$15:$B$27),0),MATCH($D$6,'Referenčne količine'!$B$5:$E$5,0))</f>
        <v>0</v>
      </c>
      <c r="K21" s="432"/>
      <c r="L21" s="433"/>
      <c r="M21" s="434"/>
      <c r="N21" s="312"/>
    </row>
    <row r="22" spans="2:14" ht="17.100000000000001" customHeight="1" x14ac:dyDescent="0.2">
      <c r="B22" s="243" t="s">
        <v>35</v>
      </c>
      <c r="C22" s="244" t="s">
        <v>24</v>
      </c>
      <c r="D22" s="59">
        <f>INDEX('Referenčne količine'!$B$15:$E$27,MATCH(B22,('Referenčne količine'!$B$15:$B$27),0),MATCH($D$6,'Referenčne količine'!$B$5:$E$5,0))</f>
        <v>8224.9188900000008</v>
      </c>
      <c r="K22" s="430"/>
      <c r="L22" s="431"/>
      <c r="M22" s="431"/>
      <c r="N22" s="312"/>
    </row>
    <row r="23" spans="2:14" ht="17.100000000000001" customHeight="1" x14ac:dyDescent="0.2">
      <c r="B23" s="324" t="s">
        <v>54</v>
      </c>
      <c r="C23" s="325"/>
      <c r="D23" s="326"/>
      <c r="K23" s="430"/>
      <c r="L23" s="431"/>
      <c r="M23" s="431"/>
      <c r="N23" s="312"/>
    </row>
    <row r="24" spans="2:14" ht="17.100000000000001" customHeight="1" x14ac:dyDescent="0.2">
      <c r="B24" s="22" t="s">
        <v>25</v>
      </c>
      <c r="C24" s="10" t="s">
        <v>18</v>
      </c>
      <c r="D24" s="57">
        <f>INDEX('Referenčne količine'!$B$28:$E$40,MATCH(B24,('Referenčne količine'!$B$28:$B$40),0),MATCH($D$6,'Referenčne količine'!$B$5:$E$5,0))</f>
        <v>27446</v>
      </c>
      <c r="K24" s="430"/>
      <c r="L24" s="431"/>
      <c r="M24" s="431"/>
      <c r="N24" s="312"/>
    </row>
    <row r="25" spans="2:14" ht="17.100000000000001" customHeight="1" x14ac:dyDescent="0.2">
      <c r="B25" s="22" t="s">
        <v>26</v>
      </c>
      <c r="C25" s="10" t="s">
        <v>18</v>
      </c>
      <c r="D25" s="57">
        <f>INDEX('Referenčne količine'!$B$28:$E$40,MATCH(B25,('Referenčne količine'!$B$28:$B$40),0),MATCH($D$6,'Referenčne količine'!$B$5:$E$5,0))</f>
        <v>0</v>
      </c>
      <c r="K25" s="430"/>
      <c r="L25" s="431"/>
      <c r="M25" s="431"/>
      <c r="N25" s="312"/>
    </row>
    <row r="26" spans="2:14" ht="17.100000000000001" customHeight="1" x14ac:dyDescent="0.2">
      <c r="B26" s="22" t="s">
        <v>27</v>
      </c>
      <c r="C26" s="10" t="s">
        <v>18</v>
      </c>
      <c r="D26" s="57">
        <f>INDEX('Referenčne količine'!$B$28:$E$40,MATCH(B26,('Referenčne količine'!$B$28:$B$40),0),MATCH($D$6,'Referenčne količine'!$B$5:$E$5,0))</f>
        <v>27446</v>
      </c>
      <c r="K26" s="430"/>
      <c r="L26" s="431"/>
      <c r="M26" s="431"/>
      <c r="N26" s="312"/>
    </row>
    <row r="27" spans="2:14" ht="17.100000000000001" customHeight="1" x14ac:dyDescent="0.2">
      <c r="B27" s="283" t="s">
        <v>168</v>
      </c>
      <c r="C27" s="10" t="s">
        <v>18</v>
      </c>
      <c r="D27" s="57">
        <f>INDEX('Referenčne količine'!$B$28:$E$40,MATCH(B27,('Referenčne količine'!$B$28:$B$40),0),MATCH($D$6,'Referenčne količine'!$B$5:$E$5,0))</f>
        <v>1500</v>
      </c>
      <c r="K27" s="430"/>
      <c r="L27" s="431"/>
      <c r="M27" s="431"/>
      <c r="N27" s="312"/>
    </row>
    <row r="28" spans="2:14" ht="17.100000000000001" customHeight="1" x14ac:dyDescent="0.2">
      <c r="B28" s="22" t="s">
        <v>29</v>
      </c>
      <c r="C28" s="10" t="s">
        <v>18</v>
      </c>
      <c r="D28" s="57">
        <f>INDEX('Referenčne količine'!$B$28:$E$40,MATCH(B28,('Referenčne količine'!$B$28:$B$40),0),MATCH($D$6,'Referenčne količine'!$B$5:$E$5,0))</f>
        <v>11430</v>
      </c>
      <c r="K28" s="430"/>
      <c r="L28" s="431"/>
      <c r="M28" s="431"/>
      <c r="N28" s="312"/>
    </row>
    <row r="29" spans="2:14" ht="17.100000000000001" customHeight="1" x14ac:dyDescent="0.2">
      <c r="B29" s="22" t="s">
        <v>30</v>
      </c>
      <c r="C29" s="10" t="s">
        <v>18</v>
      </c>
      <c r="D29" s="57">
        <f>INDEX('Referenčne količine'!$B$28:$E$40,MATCH(B29,('Referenčne količine'!$B$28:$B$40),0),MATCH($D$6,'Referenčne količine'!$B$5:$E$5,0))</f>
        <v>0</v>
      </c>
      <c r="K29" s="430"/>
      <c r="L29" s="431"/>
      <c r="M29" s="431"/>
      <c r="N29" s="312"/>
    </row>
    <row r="30" spans="2:14" ht="17.100000000000001" customHeight="1" x14ac:dyDescent="0.2">
      <c r="B30" s="22" t="s">
        <v>36</v>
      </c>
      <c r="C30" s="10" t="s">
        <v>18</v>
      </c>
      <c r="D30" s="57">
        <f>INDEX('Referenčne količine'!$B$28:$E$40,MATCH(B30,('Referenčne količine'!$B$28:$B$40),0),MATCH($D$6,'Referenčne količine'!$B$5:$E$5,0))</f>
        <v>10275</v>
      </c>
      <c r="K30" s="430"/>
      <c r="L30" s="431"/>
      <c r="M30" s="431"/>
      <c r="N30" s="312"/>
    </row>
    <row r="31" spans="2:14" ht="17.100000000000001" customHeight="1" x14ac:dyDescent="0.2">
      <c r="B31" s="22" t="s">
        <v>31</v>
      </c>
      <c r="C31" s="10" t="s">
        <v>18</v>
      </c>
      <c r="D31" s="57">
        <f>INDEX('Referenčne količine'!$B$28:$E$40,MATCH(B31,('Referenčne količine'!$B$28:$B$40),0),MATCH($D$6,'Referenčne količine'!$B$5:$E$5,0))</f>
        <v>4241</v>
      </c>
      <c r="K31" s="430"/>
      <c r="L31" s="431"/>
      <c r="M31" s="431"/>
      <c r="N31" s="312"/>
    </row>
    <row r="32" spans="2:14" ht="17.100000000000001" customHeight="1" x14ac:dyDescent="0.2">
      <c r="B32" s="22" t="s">
        <v>32</v>
      </c>
      <c r="C32" s="10" t="s">
        <v>23</v>
      </c>
      <c r="D32" s="58">
        <f>INDEX('Referenčne količine'!$B$28:$E$40,MATCH(B32,('Referenčne količine'!$B$28:$B$40),0),MATCH($D$6,'Referenčne količine'!$B$5:$E$5,0))</f>
        <v>108.49</v>
      </c>
      <c r="K32" s="430"/>
      <c r="L32" s="431"/>
      <c r="M32" s="431"/>
      <c r="N32" s="312"/>
    </row>
    <row r="33" spans="2:14" ht="17.100000000000001" customHeight="1" x14ac:dyDescent="0.2">
      <c r="B33" s="22" t="s">
        <v>33</v>
      </c>
      <c r="C33" s="10" t="s">
        <v>24</v>
      </c>
      <c r="D33" s="59">
        <f>INDEX('Referenčne količine'!$B$28:$E$40,MATCH(B33,('Referenčne količine'!$B$28:$B$40),0),MATCH($D$6,'Referenčne količine'!$B$5:$E$5,0))</f>
        <v>2977.61654</v>
      </c>
      <c r="K33" s="209" t="s">
        <v>57</v>
      </c>
      <c r="L33" s="210"/>
      <c r="M33" s="211"/>
      <c r="N33" s="63">
        <f>SUM(N13:N32)</f>
        <v>0</v>
      </c>
    </row>
    <row r="34" spans="2:14" ht="17.100000000000001" customHeight="1" x14ac:dyDescent="0.2">
      <c r="B34" s="22" t="s">
        <v>34</v>
      </c>
      <c r="C34" s="10" t="s">
        <v>24</v>
      </c>
      <c r="D34" s="59">
        <f>INDEX('Referenčne količine'!$B$28:$E$40,MATCH(B34,('Referenčne količine'!$B$28:$B$40),0),MATCH($D$6,'Referenčne količine'!$B$5:$E$5,0))</f>
        <v>0</v>
      </c>
      <c r="K34" s="209" t="s">
        <v>59</v>
      </c>
      <c r="L34" s="210"/>
      <c r="M34" s="211"/>
      <c r="N34" s="63">
        <f>0.22*N33</f>
        <v>0</v>
      </c>
    </row>
    <row r="35" spans="2:14" ht="17.100000000000001" customHeight="1" thickBot="1" x14ac:dyDescent="0.25">
      <c r="B35" s="22" t="s">
        <v>35</v>
      </c>
      <c r="C35" s="10" t="s">
        <v>24</v>
      </c>
      <c r="D35" s="59">
        <f>INDEX('Referenčne količine'!$B$28:$E$40,MATCH(B35,('Referenčne količine'!$B$28:$B$40),0),MATCH($D$6,'Referenčne količine'!$B$5:$E$5,0))</f>
        <v>2977.61654</v>
      </c>
      <c r="K35" s="212" t="s">
        <v>117</v>
      </c>
      <c r="L35" s="213"/>
      <c r="M35" s="214"/>
      <c r="N35" s="119">
        <f>N33+N34</f>
        <v>0</v>
      </c>
    </row>
    <row r="36" spans="2:14" ht="17.100000000000001" customHeight="1" x14ac:dyDescent="0.2">
      <c r="B36" s="31" t="s">
        <v>37</v>
      </c>
      <c r="C36" s="32"/>
      <c r="D36" s="33"/>
    </row>
    <row r="37" spans="2:14" ht="28.35" customHeight="1" x14ac:dyDescent="0.2">
      <c r="B37" s="23" t="s">
        <v>38</v>
      </c>
      <c r="C37" s="16" t="s">
        <v>24</v>
      </c>
      <c r="D37" s="59">
        <f>INDEX('Referenčne količine'!$B$41:$E$42,MATCH(B37,('Referenčne količine'!$B$41:$B$42),0),MATCH($D$6,'Referenčne količine'!$B$5:$E$5,0))</f>
        <v>2193</v>
      </c>
    </row>
    <row r="38" spans="2:14" ht="17.100000000000001" customHeight="1" x14ac:dyDescent="0.2">
      <c r="B38" s="34" t="s">
        <v>39</v>
      </c>
      <c r="C38" s="35"/>
      <c r="D38" s="36"/>
    </row>
    <row r="39" spans="2:14" ht="17.100000000000001" customHeight="1" x14ac:dyDescent="0.2">
      <c r="B39" s="24" t="s">
        <v>40</v>
      </c>
      <c r="C39" s="17" t="s">
        <v>24</v>
      </c>
      <c r="D39" s="59">
        <f>INDEX('Referenčne količine'!$B$43:$E$45,MATCH(B39,('Referenčne količine'!$B$43:$B$45),0),MATCH($D$6,'Referenčne količine'!$B$5:$E$5,0))</f>
        <v>13395.53543</v>
      </c>
    </row>
    <row r="40" spans="2:14" ht="17.100000000000001" customHeight="1" thickBot="1" x14ac:dyDescent="0.25">
      <c r="B40" s="25" t="s">
        <v>41</v>
      </c>
      <c r="C40" s="18" t="s">
        <v>24</v>
      </c>
      <c r="D40" s="60">
        <f>INDEX('Referenčne količine'!$B$43:$E$45,MATCH(B40,('Referenčne količine'!$B$43:$B$45),0),MATCH($D$6,'Referenčne količine'!$B$5:$E$5,0))</f>
        <v>13395.53543</v>
      </c>
    </row>
    <row r="41" spans="2:14" ht="14.1" customHeight="1" x14ac:dyDescent="0.2"/>
    <row r="42" spans="2:14" ht="14.1" customHeight="1" x14ac:dyDescent="0.2"/>
    <row r="43" spans="2:14" ht="14.1" customHeight="1" x14ac:dyDescent="0.2"/>
    <row r="44" spans="2:14" ht="14.1" customHeight="1" x14ac:dyDescent="0.2"/>
    <row r="45" spans="2:14" ht="14.1" customHeight="1" x14ac:dyDescent="0.2"/>
    <row r="46" spans="2:14" ht="14.1" customHeight="1" x14ac:dyDescent="0.2"/>
    <row r="47" spans="2:14" ht="14.1" customHeight="1" x14ac:dyDescent="0.2"/>
    <row r="48" spans="2:14" ht="14.1" customHeight="1" x14ac:dyDescent="0.2"/>
    <row r="49" spans="2:25" ht="14.1" customHeight="1" x14ac:dyDescent="0.2"/>
    <row r="50" spans="2:25" ht="14.1" customHeight="1" x14ac:dyDescent="0.2"/>
    <row r="51" spans="2:25" ht="14.1" customHeight="1" x14ac:dyDescent="0.2"/>
    <row r="52" spans="2:25" ht="14.1" customHeight="1" x14ac:dyDescent="0.2">
      <c r="R52" s="340"/>
      <c r="Y52" s="340"/>
    </row>
    <row r="53" spans="2:25" ht="14.1" customHeight="1" x14ac:dyDescent="0.2"/>
    <row r="54" spans="2:25" ht="14.1" customHeight="1" x14ac:dyDescent="0.25">
      <c r="N54" s="368"/>
      <c r="O54" s="368"/>
      <c r="P54" s="368"/>
    </row>
    <row r="55" spans="2:25" ht="14.1" customHeight="1" x14ac:dyDescent="0.25">
      <c r="N55" s="334"/>
      <c r="O55" s="334"/>
      <c r="P55" s="334"/>
    </row>
    <row r="56" spans="2:25" ht="17.100000000000001" customHeight="1" thickBot="1" x14ac:dyDescent="0.3">
      <c r="B56" s="367" t="s">
        <v>60</v>
      </c>
      <c r="K56" s="367" t="s">
        <v>89</v>
      </c>
      <c r="N56" s="368"/>
      <c r="O56" s="368"/>
      <c r="P56" s="368"/>
    </row>
    <row r="57" spans="2:25" ht="17.100000000000001" customHeight="1" x14ac:dyDescent="0.25">
      <c r="B57" s="369" t="s">
        <v>61</v>
      </c>
      <c r="C57" s="370"/>
      <c r="D57" s="370"/>
      <c r="E57" s="371"/>
      <c r="K57" s="269" t="s">
        <v>82</v>
      </c>
      <c r="L57" s="270"/>
      <c r="M57" s="271"/>
      <c r="N57" s="368"/>
      <c r="O57" s="368"/>
      <c r="P57" s="368"/>
    </row>
    <row r="58" spans="2:25" ht="17.100000000000001" customHeight="1" x14ac:dyDescent="0.25">
      <c r="B58" s="38" t="s">
        <v>14</v>
      </c>
      <c r="C58" s="7" t="str">
        <f>D11</f>
        <v>ELKO</v>
      </c>
      <c r="D58" s="7" t="s">
        <v>18</v>
      </c>
      <c r="E58" s="57">
        <f>SUM(C92:F92)</f>
        <v>0</v>
      </c>
      <c r="K58" s="48" t="s">
        <v>83</v>
      </c>
      <c r="L58" s="49" t="s">
        <v>86</v>
      </c>
      <c r="M58" s="50" t="s">
        <v>84</v>
      </c>
      <c r="N58" s="333"/>
      <c r="O58" s="333"/>
      <c r="P58" s="368"/>
      <c r="Y58" s="337"/>
    </row>
    <row r="59" spans="2:25" ht="17.100000000000001" customHeight="1" x14ac:dyDescent="0.25">
      <c r="B59" s="38" t="s">
        <v>15</v>
      </c>
      <c r="C59" s="7" t="s">
        <v>62</v>
      </c>
      <c r="D59" s="7" t="s">
        <v>18</v>
      </c>
      <c r="E59" s="57">
        <f>SUM(C93:F93)</f>
        <v>0</v>
      </c>
      <c r="F59" s="329" t="s">
        <v>217</v>
      </c>
      <c r="G59" s="329"/>
      <c r="K59" s="51">
        <v>1</v>
      </c>
      <c r="L59" s="46">
        <f t="shared" ref="L59:L71" si="0">$E$85</f>
        <v>11695.388640000001</v>
      </c>
      <c r="M59" s="47">
        <f t="shared" ref="M59:M71" si="1">L59/((1+$M$76)^K59)</f>
        <v>11245.566000000001</v>
      </c>
      <c r="N59" s="333"/>
      <c r="O59" s="333"/>
      <c r="P59" s="368"/>
      <c r="Y59" s="337"/>
    </row>
    <row r="60" spans="2:25" ht="17.100000000000001" customHeight="1" x14ac:dyDescent="0.25">
      <c r="B60" s="38" t="s">
        <v>116</v>
      </c>
      <c r="C60" s="381" t="s">
        <v>197</v>
      </c>
      <c r="D60" s="7" t="s">
        <v>18</v>
      </c>
      <c r="E60" s="57">
        <f>SUM(C94:F94)</f>
        <v>0</v>
      </c>
      <c r="K60" s="51">
        <v>2</v>
      </c>
      <c r="L60" s="46">
        <f t="shared" si="0"/>
        <v>11695.388640000001</v>
      </c>
      <c r="M60" s="47">
        <f t="shared" si="1"/>
        <v>10813.04423076923</v>
      </c>
      <c r="N60" s="333"/>
      <c r="O60" s="333"/>
      <c r="P60" s="368"/>
      <c r="Y60" s="337"/>
    </row>
    <row r="61" spans="2:25" ht="17.100000000000001" customHeight="1" x14ac:dyDescent="0.25">
      <c r="B61" s="38" t="s">
        <v>65</v>
      </c>
      <c r="C61" s="7" t="str">
        <f>C58</f>
        <v>ELKO</v>
      </c>
      <c r="D61" s="7" t="s">
        <v>23</v>
      </c>
      <c r="E61" s="62">
        <f>D19</f>
        <v>76.73</v>
      </c>
      <c r="K61" s="51">
        <v>3</v>
      </c>
      <c r="L61" s="46">
        <f t="shared" si="0"/>
        <v>11695.388640000001</v>
      </c>
      <c r="M61" s="47">
        <f t="shared" si="1"/>
        <v>10397.157914201183</v>
      </c>
      <c r="N61" s="333"/>
      <c r="O61" s="333"/>
      <c r="P61" s="368"/>
      <c r="Y61" s="337"/>
    </row>
    <row r="62" spans="2:25" ht="17.100000000000001" customHeight="1" x14ac:dyDescent="0.25">
      <c r="B62" s="38" t="s">
        <v>66</v>
      </c>
      <c r="C62" s="7" t="str">
        <f t="shared" ref="C62:C63" si="2">C59</f>
        <v>EE za TČ</v>
      </c>
      <c r="D62" s="7" t="s">
        <v>23</v>
      </c>
      <c r="E62" s="62"/>
      <c r="K62" s="51">
        <v>4</v>
      </c>
      <c r="L62" s="46">
        <f t="shared" si="0"/>
        <v>11695.388640000001</v>
      </c>
      <c r="M62" s="47">
        <f t="shared" si="1"/>
        <v>9997.2672251934455</v>
      </c>
      <c r="N62" s="333"/>
      <c r="O62" s="333"/>
      <c r="P62" s="368"/>
      <c r="Y62" s="337"/>
    </row>
    <row r="63" spans="2:25" ht="17.100000000000001" customHeight="1" x14ac:dyDescent="0.25">
      <c r="B63" s="38" t="s">
        <v>67</v>
      </c>
      <c r="C63" s="381" t="str">
        <f t="shared" si="2"/>
        <v>ZP</v>
      </c>
      <c r="D63" s="7" t="s">
        <v>23</v>
      </c>
      <c r="E63" s="382">
        <v>42.2</v>
      </c>
      <c r="F63" s="416"/>
      <c r="K63" s="51">
        <v>5</v>
      </c>
      <c r="L63" s="46">
        <f t="shared" si="0"/>
        <v>11695.388640000001</v>
      </c>
      <c r="M63" s="47">
        <f t="shared" si="1"/>
        <v>9612.7569473013882</v>
      </c>
      <c r="N63" s="333"/>
      <c r="O63" s="333"/>
      <c r="P63" s="368"/>
      <c r="Y63" s="337"/>
    </row>
    <row r="64" spans="2:25" ht="17.100000000000001" customHeight="1" x14ac:dyDescent="0.25">
      <c r="B64" s="38" t="s">
        <v>68</v>
      </c>
      <c r="C64" s="7" t="str">
        <f>C58</f>
        <v>ELKO</v>
      </c>
      <c r="D64" s="7" t="s">
        <v>18</v>
      </c>
      <c r="E64" s="61">
        <f>D14-E58</f>
        <v>107193</v>
      </c>
      <c r="K64" s="51">
        <v>6</v>
      </c>
      <c r="L64" s="46">
        <f t="shared" si="0"/>
        <v>11695.388640000001</v>
      </c>
      <c r="M64" s="47">
        <f t="shared" si="1"/>
        <v>9243.0355262513349</v>
      </c>
      <c r="N64" s="333"/>
      <c r="O64" s="333"/>
      <c r="P64" s="368"/>
      <c r="Y64" s="337"/>
    </row>
    <row r="65" spans="2:25" ht="17.100000000000001" customHeight="1" x14ac:dyDescent="0.25">
      <c r="B65" s="38" t="s">
        <v>69</v>
      </c>
      <c r="C65" s="7" t="str">
        <f t="shared" ref="C65:C66" si="3">C59</f>
        <v>EE za TČ</v>
      </c>
      <c r="D65" s="7" t="s">
        <v>18</v>
      </c>
      <c r="E65" s="61">
        <f>(-1)*E59</f>
        <v>0</v>
      </c>
      <c r="K65" s="51">
        <v>7</v>
      </c>
      <c r="L65" s="46">
        <f t="shared" si="0"/>
        <v>11695.388640000001</v>
      </c>
      <c r="M65" s="47">
        <f t="shared" si="1"/>
        <v>8887.534159857054</v>
      </c>
      <c r="N65" s="333"/>
      <c r="O65" s="333"/>
      <c r="P65" s="368"/>
      <c r="Y65" s="337"/>
    </row>
    <row r="66" spans="2:25" ht="17.100000000000001" customHeight="1" x14ac:dyDescent="0.25">
      <c r="B66" s="38" t="s">
        <v>70</v>
      </c>
      <c r="C66" s="381" t="str">
        <f t="shared" si="3"/>
        <v>ZP</v>
      </c>
      <c r="D66" s="7" t="s">
        <v>18</v>
      </c>
      <c r="E66" s="61">
        <f>(-1)*E60</f>
        <v>0</v>
      </c>
      <c r="K66" s="51">
        <v>8</v>
      </c>
      <c r="L66" s="46">
        <f t="shared" si="0"/>
        <v>11695.388640000001</v>
      </c>
      <c r="M66" s="47">
        <f t="shared" si="1"/>
        <v>8545.7059229394727</v>
      </c>
      <c r="N66" s="333"/>
      <c r="O66" s="333"/>
      <c r="P66" s="368"/>
      <c r="Y66" s="337"/>
    </row>
    <row r="67" spans="2:25" ht="17.100000000000001" customHeight="1" x14ac:dyDescent="0.25">
      <c r="B67" s="38" t="s">
        <v>71</v>
      </c>
      <c r="C67" s="5"/>
      <c r="D67" s="7" t="s">
        <v>24</v>
      </c>
      <c r="E67" s="63">
        <f>(E58*E61+E59*E62+E60*E63)/1000</f>
        <v>0</v>
      </c>
      <c r="K67" s="51">
        <v>9</v>
      </c>
      <c r="L67" s="46">
        <f t="shared" si="0"/>
        <v>11695.388640000001</v>
      </c>
      <c r="M67" s="47">
        <f t="shared" si="1"/>
        <v>8217.024925903339</v>
      </c>
      <c r="N67" s="333"/>
      <c r="O67" s="333"/>
      <c r="P67" s="368"/>
      <c r="Y67" s="337"/>
    </row>
    <row r="68" spans="2:25" ht="17.100000000000001" customHeight="1" x14ac:dyDescent="0.25">
      <c r="B68" s="154" t="s">
        <v>79</v>
      </c>
      <c r="C68" s="155"/>
      <c r="D68" s="7" t="s">
        <v>24</v>
      </c>
      <c r="E68" s="63">
        <f>D22+-E67</f>
        <v>8224.9188900000008</v>
      </c>
      <c r="K68" s="51">
        <v>10</v>
      </c>
      <c r="L68" s="46">
        <f t="shared" si="0"/>
        <v>11695.388640000001</v>
      </c>
      <c r="M68" s="47">
        <f t="shared" si="1"/>
        <v>7900.9855056762872</v>
      </c>
      <c r="N68" s="333"/>
      <c r="O68" s="333"/>
      <c r="P68" s="368"/>
      <c r="Y68" s="337"/>
    </row>
    <row r="69" spans="2:25" ht="17.100000000000001" customHeight="1" thickBot="1" x14ac:dyDescent="0.3">
      <c r="B69" s="156" t="s">
        <v>101</v>
      </c>
      <c r="C69" s="157"/>
      <c r="D69" s="55" t="s">
        <v>73</v>
      </c>
      <c r="E69" s="167">
        <f>E68/D22</f>
        <v>1</v>
      </c>
      <c r="K69" s="51">
        <v>11</v>
      </c>
      <c r="L69" s="46">
        <f t="shared" si="0"/>
        <v>11695.388640000001</v>
      </c>
      <c r="M69" s="47">
        <f t="shared" si="1"/>
        <v>7597.1014477656618</v>
      </c>
      <c r="N69" s="333"/>
      <c r="O69" s="333"/>
      <c r="P69" s="368"/>
      <c r="Y69" s="337"/>
    </row>
    <row r="70" spans="2:25" ht="14.1" customHeight="1" thickBot="1" x14ac:dyDescent="0.3">
      <c r="B70" s="1"/>
      <c r="C70" s="1"/>
      <c r="D70" s="1"/>
      <c r="E70" s="1"/>
      <c r="K70" s="51">
        <v>12</v>
      </c>
      <c r="L70" s="46">
        <f t="shared" si="0"/>
        <v>11695.388640000001</v>
      </c>
      <c r="M70" s="47">
        <f t="shared" si="1"/>
        <v>7304.9052382362115</v>
      </c>
      <c r="N70" s="333"/>
      <c r="O70" s="333"/>
      <c r="P70" s="368"/>
      <c r="Y70" s="337"/>
    </row>
    <row r="71" spans="2:25" ht="17.100000000000001" customHeight="1" x14ac:dyDescent="0.25">
      <c r="B71" s="275" t="s">
        <v>76</v>
      </c>
      <c r="C71" s="276"/>
      <c r="D71" s="276"/>
      <c r="E71" s="277"/>
      <c r="K71" s="51">
        <v>13</v>
      </c>
      <c r="L71" s="46">
        <f t="shared" si="0"/>
        <v>11695.388640000001</v>
      </c>
      <c r="M71" s="47">
        <f t="shared" si="1"/>
        <v>7023.9473444578953</v>
      </c>
      <c r="N71" s="333"/>
      <c r="O71" s="333"/>
      <c r="P71" s="368"/>
      <c r="Y71" s="337"/>
    </row>
    <row r="72" spans="2:25" ht="17.100000000000001" customHeight="1" x14ac:dyDescent="0.25">
      <c r="B72" s="40" t="s">
        <v>74</v>
      </c>
      <c r="C72" s="8" t="s">
        <v>75</v>
      </c>
      <c r="D72" s="8" t="s">
        <v>18</v>
      </c>
      <c r="E72" s="61">
        <f>SUM(C97:G97)</f>
        <v>15671</v>
      </c>
      <c r="K72" s="51">
        <v>14</v>
      </c>
      <c r="L72" s="46">
        <f>$E$85</f>
        <v>11695.388640000001</v>
      </c>
      <c r="M72" s="47">
        <f>L72/((1+$M$76)^K72)</f>
        <v>6753.7955235172067</v>
      </c>
      <c r="N72" s="333"/>
      <c r="O72" s="333"/>
      <c r="P72" s="334"/>
      <c r="Y72" s="337"/>
    </row>
    <row r="73" spans="2:25" ht="17.100000000000001" customHeight="1" x14ac:dyDescent="0.25">
      <c r="B73" s="40" t="s">
        <v>32</v>
      </c>
      <c r="C73" s="8" t="str">
        <f>C72</f>
        <v>EE</v>
      </c>
      <c r="D73" s="8" t="s">
        <v>23</v>
      </c>
      <c r="E73" s="62">
        <f>D32</f>
        <v>108.49</v>
      </c>
      <c r="K73" s="51">
        <v>15</v>
      </c>
      <c r="L73" s="46">
        <f>$E$85</f>
        <v>11695.388640000001</v>
      </c>
      <c r="M73" s="47">
        <f>L73/((1+$M$76)^K73)</f>
        <v>6494.034157228084</v>
      </c>
      <c r="N73" s="333"/>
      <c r="O73" s="333"/>
      <c r="P73" s="368"/>
      <c r="Y73" s="337"/>
    </row>
    <row r="74" spans="2:25" ht="17.100000000000001" customHeight="1" thickBot="1" x14ac:dyDescent="0.3">
      <c r="B74" s="40" t="s">
        <v>77</v>
      </c>
      <c r="C74" s="8" t="str">
        <f>C72</f>
        <v>EE</v>
      </c>
      <c r="D74" s="8" t="s">
        <v>18</v>
      </c>
      <c r="E74" s="61">
        <f>D26-E72</f>
        <v>11775</v>
      </c>
      <c r="K74" s="261" t="s">
        <v>85</v>
      </c>
      <c r="L74" s="262"/>
      <c r="M74" s="129">
        <f>SUM(M59:M73)</f>
        <v>130033.86206929781</v>
      </c>
      <c r="N74" s="368"/>
      <c r="O74" s="368"/>
      <c r="P74" s="368"/>
      <c r="Y74" s="338"/>
    </row>
    <row r="75" spans="2:25" ht="17.100000000000001" customHeight="1" x14ac:dyDescent="0.25">
      <c r="B75" s="40" t="s">
        <v>78</v>
      </c>
      <c r="C75" s="8" t="s">
        <v>75</v>
      </c>
      <c r="D75" s="8" t="s">
        <v>24</v>
      </c>
      <c r="E75" s="63">
        <f>E72*E73/1000</f>
        <v>1700.1467899999998</v>
      </c>
      <c r="K75" s="263"/>
      <c r="L75" s="264"/>
      <c r="M75" s="265"/>
      <c r="N75" s="368"/>
      <c r="O75" s="368"/>
      <c r="P75" s="368"/>
      <c r="Y75" s="338"/>
    </row>
    <row r="76" spans="2:25" ht="17.100000000000001" customHeight="1" thickBot="1" x14ac:dyDescent="0.3">
      <c r="B76" s="40" t="s">
        <v>79</v>
      </c>
      <c r="C76" s="8" t="str">
        <f>C75</f>
        <v>EE</v>
      </c>
      <c r="D76" s="8" t="s">
        <v>24</v>
      </c>
      <c r="E76" s="63">
        <f>D35-E75</f>
        <v>1277.4697500000002</v>
      </c>
      <c r="K76" s="52" t="s">
        <v>87</v>
      </c>
      <c r="L76" s="53"/>
      <c r="M76" s="54">
        <v>0.04</v>
      </c>
      <c r="N76" s="368"/>
      <c r="O76" s="368"/>
      <c r="P76" s="368"/>
      <c r="Y76" s="338"/>
    </row>
    <row r="77" spans="2:25" ht="17.100000000000001" customHeight="1" thickBot="1" x14ac:dyDescent="0.3">
      <c r="B77" s="41" t="s">
        <v>102</v>
      </c>
      <c r="C77" s="56" t="str">
        <f>C75</f>
        <v>EE</v>
      </c>
      <c r="D77" s="56" t="s">
        <v>73</v>
      </c>
      <c r="E77" s="167">
        <f>E76/D35</f>
        <v>0.42902426583108655</v>
      </c>
      <c r="L77" s="332"/>
      <c r="N77" s="336"/>
      <c r="O77" s="336"/>
      <c r="P77" s="368"/>
      <c r="Y77" s="339"/>
    </row>
    <row r="78" spans="2:25" ht="14.1" customHeight="1" thickBot="1" x14ac:dyDescent="0.3">
      <c r="B78" s="1"/>
      <c r="C78" s="1"/>
      <c r="D78" s="1"/>
      <c r="E78" s="1"/>
      <c r="N78" s="368"/>
      <c r="O78" s="368"/>
      <c r="P78" s="368"/>
    </row>
    <row r="79" spans="2:25" ht="17.100000000000001" customHeight="1" x14ac:dyDescent="0.25">
      <c r="B79" s="278" t="s">
        <v>37</v>
      </c>
      <c r="C79" s="279"/>
      <c r="D79" s="279"/>
      <c r="E79" s="280"/>
      <c r="N79" s="435"/>
      <c r="O79" s="435"/>
      <c r="P79" s="435"/>
    </row>
    <row r="80" spans="2:25" ht="28.35" customHeight="1" x14ac:dyDescent="0.25">
      <c r="B80" s="436" t="s">
        <v>80</v>
      </c>
      <c r="C80" s="437"/>
      <c r="D80" s="9" t="s">
        <v>24</v>
      </c>
      <c r="E80" s="313">
        <v>0</v>
      </c>
      <c r="N80" s="368"/>
      <c r="O80" s="368"/>
      <c r="P80" s="368"/>
    </row>
    <row r="81" spans="2:19" ht="28.35" customHeight="1" x14ac:dyDescent="0.25">
      <c r="B81" s="436" t="s">
        <v>81</v>
      </c>
      <c r="C81" s="437"/>
      <c r="D81" s="9" t="s">
        <v>24</v>
      </c>
      <c r="E81" s="63">
        <f>D37-E80</f>
        <v>2193</v>
      </c>
      <c r="I81" s="368"/>
      <c r="J81" s="368"/>
      <c r="K81" s="368"/>
      <c r="L81" s="368"/>
      <c r="M81" s="368"/>
      <c r="N81" s="368"/>
      <c r="O81" s="368"/>
      <c r="P81" s="368"/>
    </row>
    <row r="82" spans="2:19" ht="28.35" customHeight="1" thickBot="1" x14ac:dyDescent="0.3">
      <c r="B82" s="438" t="s">
        <v>105</v>
      </c>
      <c r="C82" s="439"/>
      <c r="D82" s="43" t="s">
        <v>73</v>
      </c>
      <c r="E82" s="167">
        <f>E81/D37</f>
        <v>1</v>
      </c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</row>
    <row r="83" spans="2:19" ht="14.1" customHeight="1" thickBot="1" x14ac:dyDescent="0.3">
      <c r="B83" s="1"/>
      <c r="C83" s="1"/>
      <c r="D83" s="1"/>
      <c r="E83" s="1"/>
      <c r="N83" s="368"/>
      <c r="O83" s="368"/>
      <c r="P83" s="368"/>
      <c r="Q83" s="368"/>
      <c r="R83" s="368"/>
      <c r="S83" s="368"/>
    </row>
    <row r="84" spans="2:19" ht="17.100000000000001" customHeight="1" x14ac:dyDescent="0.25">
      <c r="B84" s="266" t="s">
        <v>96</v>
      </c>
      <c r="C84" s="267"/>
      <c r="D84" s="267"/>
      <c r="E84" s="268"/>
      <c r="N84" s="368"/>
      <c r="O84" s="368"/>
      <c r="P84" s="368"/>
    </row>
    <row r="85" spans="2:19" ht="17.100000000000001" customHeight="1" x14ac:dyDescent="0.25">
      <c r="B85" s="165" t="s">
        <v>103</v>
      </c>
      <c r="C85" s="164"/>
      <c r="D85" s="44" t="s">
        <v>24</v>
      </c>
      <c r="E85" s="166">
        <f>E68+E76+E81</f>
        <v>11695.388640000001</v>
      </c>
      <c r="N85" s="368"/>
      <c r="O85" s="368"/>
      <c r="P85" s="368"/>
    </row>
    <row r="86" spans="2:19" ht="17.100000000000001" customHeight="1" x14ac:dyDescent="0.25">
      <c r="B86" s="160" t="s">
        <v>104</v>
      </c>
      <c r="C86" s="161"/>
      <c r="D86" s="44" t="s">
        <v>73</v>
      </c>
      <c r="E86" s="287">
        <f>E85/D40</f>
        <v>0.87308108743511426</v>
      </c>
      <c r="N86" s="368"/>
      <c r="O86" s="368"/>
      <c r="P86" s="368"/>
    </row>
    <row r="87" spans="2:19" ht="17.100000000000001" customHeight="1" thickBot="1" x14ac:dyDescent="0.3">
      <c r="B87" s="162" t="s">
        <v>97</v>
      </c>
      <c r="C87" s="163"/>
      <c r="D87" s="45" t="s">
        <v>24</v>
      </c>
      <c r="E87" s="64">
        <f>M74</f>
        <v>130033.86206929781</v>
      </c>
      <c r="N87" s="368"/>
      <c r="O87" s="368"/>
      <c r="P87" s="368"/>
    </row>
    <row r="88" spans="2:19" ht="14.1" customHeight="1" x14ac:dyDescent="0.25">
      <c r="B88" s="332"/>
      <c r="D88" s="332"/>
      <c r="E88" s="335"/>
      <c r="N88" s="368"/>
      <c r="O88" s="368"/>
      <c r="P88" s="368"/>
    </row>
    <row r="89" spans="2:19" ht="14.1" customHeight="1" x14ac:dyDescent="0.25">
      <c r="N89" s="368"/>
      <c r="O89" s="368"/>
      <c r="P89" s="368"/>
    </row>
    <row r="90" spans="2:19" ht="17.100000000000001" customHeight="1" thickBot="1" x14ac:dyDescent="0.3">
      <c r="B90" s="367" t="s">
        <v>115</v>
      </c>
      <c r="C90" s="310" t="s">
        <v>213</v>
      </c>
      <c r="N90" s="368"/>
      <c r="O90" s="368"/>
      <c r="P90" s="368"/>
    </row>
    <row r="91" spans="2:19" ht="17.100000000000001" customHeight="1" x14ac:dyDescent="0.25">
      <c r="B91" s="37" t="s">
        <v>118</v>
      </c>
      <c r="C91" s="138" t="s">
        <v>111</v>
      </c>
      <c r="D91" s="138" t="s">
        <v>110</v>
      </c>
      <c r="E91" s="138" t="s">
        <v>112</v>
      </c>
      <c r="F91" s="139" t="s">
        <v>114</v>
      </c>
      <c r="G91" s="206"/>
      <c r="N91" s="368"/>
      <c r="O91" s="368"/>
      <c r="P91" s="368"/>
    </row>
    <row r="92" spans="2:19" ht="17.100000000000001" customHeight="1" x14ac:dyDescent="0.25">
      <c r="B92" s="20" t="s">
        <v>14</v>
      </c>
      <c r="C92" s="385"/>
      <c r="D92" s="385"/>
      <c r="E92" s="385"/>
      <c r="F92" s="386"/>
      <c r="G92" s="330"/>
      <c r="N92" s="368"/>
      <c r="O92" s="368"/>
      <c r="P92" s="368"/>
    </row>
    <row r="93" spans="2:19" ht="17.100000000000001" customHeight="1" x14ac:dyDescent="0.25">
      <c r="B93" s="20" t="s">
        <v>15</v>
      </c>
      <c r="C93" s="385"/>
      <c r="D93" s="385"/>
      <c r="E93" s="385"/>
      <c r="F93" s="386"/>
      <c r="G93" s="330"/>
      <c r="N93" s="368"/>
      <c r="O93" s="368"/>
      <c r="P93" s="368"/>
    </row>
    <row r="94" spans="2:19" ht="17.100000000000001" customHeight="1" thickBot="1" x14ac:dyDescent="0.3">
      <c r="B94" s="101" t="s">
        <v>116</v>
      </c>
      <c r="C94" s="387"/>
      <c r="D94" s="387"/>
      <c r="E94" s="387"/>
      <c r="F94" s="388"/>
      <c r="G94" s="331"/>
      <c r="N94" s="368"/>
      <c r="O94" s="368"/>
      <c r="P94" s="368"/>
      <c r="Q94" s="368"/>
      <c r="R94" s="368"/>
      <c r="S94" s="368"/>
    </row>
    <row r="95" spans="2:19" ht="14.1" customHeight="1" thickBot="1" x14ac:dyDescent="0.3">
      <c r="N95" s="368"/>
      <c r="O95" s="368"/>
      <c r="P95" s="368"/>
    </row>
    <row r="96" spans="2:19" ht="17.100000000000001" customHeight="1" x14ac:dyDescent="0.25">
      <c r="B96" s="39" t="s">
        <v>119</v>
      </c>
      <c r="C96" s="284" t="s">
        <v>169</v>
      </c>
      <c r="D96" s="140" t="s">
        <v>110</v>
      </c>
      <c r="E96" s="140" t="s">
        <v>112</v>
      </c>
      <c r="F96" s="140" t="s">
        <v>120</v>
      </c>
      <c r="G96" s="141" t="s">
        <v>114</v>
      </c>
      <c r="N96" s="435"/>
      <c r="O96" s="435"/>
      <c r="P96" s="368"/>
    </row>
    <row r="97" spans="2:16" ht="17.100000000000001" customHeight="1" thickBot="1" x14ac:dyDescent="0.3">
      <c r="B97" s="227" t="s">
        <v>75</v>
      </c>
      <c r="C97" s="383">
        <v>0</v>
      </c>
      <c r="D97" s="383">
        <f>D28</f>
        <v>11430</v>
      </c>
      <c r="E97" s="383">
        <f>D29</f>
        <v>0</v>
      </c>
      <c r="F97" s="383">
        <f>E104</f>
        <v>0</v>
      </c>
      <c r="G97" s="384">
        <f>D31</f>
        <v>4241</v>
      </c>
      <c r="N97" s="435"/>
      <c r="O97" s="435"/>
      <c r="P97" s="435"/>
    </row>
    <row r="98" spans="2:16" ht="14.1" customHeight="1" x14ac:dyDescent="0.25">
      <c r="C98" s="310"/>
      <c r="N98" s="368"/>
      <c r="O98" s="368"/>
      <c r="P98" s="368"/>
    </row>
    <row r="99" spans="2:16" ht="14.1" customHeight="1" x14ac:dyDescent="0.25">
      <c r="N99" s="368"/>
      <c r="O99" s="368"/>
      <c r="P99" s="368"/>
    </row>
    <row r="100" spans="2:16" ht="17.100000000000001" customHeight="1" thickBot="1" x14ac:dyDescent="0.25">
      <c r="B100" s="367" t="s">
        <v>218</v>
      </c>
    </row>
    <row r="101" spans="2:16" ht="28.35" customHeight="1" x14ac:dyDescent="0.2">
      <c r="B101" s="120" t="s">
        <v>90</v>
      </c>
      <c r="C101" s="121" t="s">
        <v>91</v>
      </c>
      <c r="D101" s="121" t="s">
        <v>92</v>
      </c>
      <c r="E101" s="122" t="s">
        <v>93</v>
      </c>
    </row>
    <row r="102" spans="2:16" ht="17.100000000000001" customHeight="1" x14ac:dyDescent="0.2">
      <c r="B102" s="123" t="s">
        <v>170</v>
      </c>
      <c r="C102" s="66">
        <v>6.85</v>
      </c>
      <c r="D102" s="67">
        <v>1500</v>
      </c>
      <c r="E102" s="124">
        <f>C102*D102</f>
        <v>10275</v>
      </c>
      <c r="F102" s="323"/>
      <c r="G102" s="323"/>
    </row>
    <row r="103" spans="2:16" ht="28.35" customHeight="1" x14ac:dyDescent="0.2">
      <c r="B103" s="125" t="s">
        <v>95</v>
      </c>
      <c r="C103" s="68" t="s">
        <v>91</v>
      </c>
      <c r="D103" s="68" t="s">
        <v>92</v>
      </c>
      <c r="E103" s="126" t="s">
        <v>93</v>
      </c>
    </row>
    <row r="104" spans="2:16" ht="17.100000000000001" customHeight="1" x14ac:dyDescent="0.2">
      <c r="B104" s="123" t="s">
        <v>170</v>
      </c>
      <c r="C104" s="314"/>
      <c r="D104" s="67">
        <f>D102</f>
        <v>1500</v>
      </c>
      <c r="E104" s="124">
        <f>C104*D104</f>
        <v>0</v>
      </c>
    </row>
    <row r="105" spans="2:16" ht="28.35" customHeight="1" x14ac:dyDescent="0.2">
      <c r="B105" s="125" t="s">
        <v>86</v>
      </c>
      <c r="C105" s="426"/>
      <c r="D105" s="427"/>
      <c r="E105" s="126" t="s">
        <v>94</v>
      </c>
    </row>
    <row r="106" spans="2:16" ht="17.100000000000001" customHeight="1" thickBot="1" x14ac:dyDescent="0.25">
      <c r="B106" s="127" t="s">
        <v>170</v>
      </c>
      <c r="C106" s="428"/>
      <c r="D106" s="429"/>
      <c r="E106" s="128">
        <f>E102-E104</f>
        <v>10275</v>
      </c>
    </row>
    <row r="107" spans="2:16" ht="17.100000000000001" customHeight="1" thickBot="1" x14ac:dyDescent="0.25">
      <c r="B107" s="78"/>
      <c r="C107" s="78"/>
      <c r="D107" s="78"/>
      <c r="E107" s="282">
        <f>E106</f>
        <v>10275</v>
      </c>
    </row>
    <row r="108" spans="2:16" ht="14.1" customHeight="1" x14ac:dyDescent="0.2"/>
    <row r="109" spans="2:16" ht="14.1" customHeight="1" x14ac:dyDescent="0.2"/>
    <row r="110" spans="2:16" ht="14.1" customHeight="1" x14ac:dyDescent="0.2"/>
    <row r="111" spans="2:16" ht="14.1" customHeight="1" x14ac:dyDescent="0.2"/>
    <row r="112" spans="2:16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  <row r="156" ht="14.1" customHeight="1" x14ac:dyDescent="0.2"/>
    <row r="157" ht="14.1" customHeight="1" x14ac:dyDescent="0.2"/>
    <row r="158" ht="14.1" customHeight="1" x14ac:dyDescent="0.2"/>
    <row r="159" ht="14.1" customHeight="1" x14ac:dyDescent="0.2"/>
    <row r="160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  <row r="175" ht="14.1" customHeight="1" x14ac:dyDescent="0.2"/>
    <row r="176" ht="14.1" customHeight="1" x14ac:dyDescent="0.2"/>
    <row r="177" ht="14.1" customHeight="1" x14ac:dyDescent="0.2"/>
    <row r="178" ht="14.1" customHeight="1" x14ac:dyDescent="0.2"/>
    <row r="179" ht="14.1" customHeight="1" x14ac:dyDescent="0.2"/>
    <row r="180" ht="14.1" customHeight="1" x14ac:dyDescent="0.2"/>
    <row r="181" ht="14.1" customHeight="1" x14ac:dyDescent="0.2"/>
    <row r="182" ht="14.1" customHeight="1" x14ac:dyDescent="0.2"/>
    <row r="183" ht="14.1" customHeight="1" x14ac:dyDescent="0.2"/>
    <row r="184" ht="14.1" customHeight="1" x14ac:dyDescent="0.2"/>
    <row r="185" ht="14.1" customHeight="1" x14ac:dyDescent="0.2"/>
    <row r="186" ht="14.1" customHeight="1" x14ac:dyDescent="0.2"/>
    <row r="187" ht="14.1" customHeight="1" x14ac:dyDescent="0.2"/>
    <row r="188" ht="14.1" customHeight="1" x14ac:dyDescent="0.2"/>
    <row r="189" ht="14.1" customHeight="1" x14ac:dyDescent="0.2"/>
    <row r="190" ht="14.1" customHeight="1" x14ac:dyDescent="0.2"/>
    <row r="191" ht="14.1" customHeight="1" x14ac:dyDescent="0.2"/>
    <row r="192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</sheetData>
  <mergeCells count="30">
    <mergeCell ref="K21:M21"/>
    <mergeCell ref="B6:C6"/>
    <mergeCell ref="B7:C7"/>
    <mergeCell ref="B8:C8"/>
    <mergeCell ref="K13:M13"/>
    <mergeCell ref="K14:M14"/>
    <mergeCell ref="K15:M15"/>
    <mergeCell ref="K16:M16"/>
    <mergeCell ref="K17:M17"/>
    <mergeCell ref="K18:M18"/>
    <mergeCell ref="K19:M19"/>
    <mergeCell ref="K20:M20"/>
    <mergeCell ref="N79:P79"/>
    <mergeCell ref="K22:M22"/>
    <mergeCell ref="K23:M23"/>
    <mergeCell ref="K24:M24"/>
    <mergeCell ref="K25:M25"/>
    <mergeCell ref="K26:M26"/>
    <mergeCell ref="K27:M27"/>
    <mergeCell ref="C105:D106"/>
    <mergeCell ref="K28:M28"/>
    <mergeCell ref="K29:M29"/>
    <mergeCell ref="K30:M30"/>
    <mergeCell ref="K31:M31"/>
    <mergeCell ref="K32:M32"/>
    <mergeCell ref="B80:C80"/>
    <mergeCell ref="B81:C81"/>
    <mergeCell ref="B82:C82"/>
    <mergeCell ref="N96:O96"/>
    <mergeCell ref="N97:P97"/>
  </mergeCells>
  <pageMargins left="0.7" right="0.7" top="0.75" bottom="0.75" header="0.3" footer="0.3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D0D548-0F02-4852-B13B-89F460E20C03}">
          <x14:formula1>
            <xm:f>'Osnovni podatki'!$B$6:$B$15</xm:f>
          </x14:formula1>
          <xm:sqref>D6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F21"/>
  <sheetViews>
    <sheetView tabSelected="1" zoomScaleNormal="100" workbookViewId="0">
      <selection activeCell="N17" sqref="N17"/>
    </sheetView>
  </sheetViews>
  <sheetFormatPr defaultColWidth="9.140625" defaultRowHeight="12.75" x14ac:dyDescent="0.2"/>
  <cols>
    <col min="1" max="1" width="2.7109375" style="69" customWidth="1"/>
    <col min="2" max="2" width="30.7109375" style="69" customWidth="1"/>
    <col min="3" max="3" width="9.140625" style="69"/>
    <col min="4" max="5" width="15.7109375" style="69" customWidth="1"/>
    <col min="6" max="6" width="14.42578125" style="69" customWidth="1"/>
    <col min="7" max="7" width="2.7109375" style="69" customWidth="1"/>
    <col min="8" max="16384" width="9.140625" style="69"/>
  </cols>
  <sheetData>
    <row r="2" spans="2:6" ht="20.25" x14ac:dyDescent="0.2">
      <c r="B2" s="74" t="s">
        <v>107</v>
      </c>
    </row>
    <row r="3" spans="2:6" ht="13.5" thickBot="1" x14ac:dyDescent="0.25"/>
    <row r="4" spans="2:6" ht="15" customHeight="1" thickBot="1" x14ac:dyDescent="0.25">
      <c r="B4" s="130" t="s">
        <v>9</v>
      </c>
      <c r="C4" s="131"/>
      <c r="D4" s="131"/>
      <c r="E4" s="131"/>
      <c r="F4" s="255"/>
    </row>
    <row r="5" spans="2:6" ht="15" customHeight="1" x14ac:dyDescent="0.2">
      <c r="B5" s="21" t="s">
        <v>5</v>
      </c>
      <c r="C5" s="4"/>
      <c r="D5" s="144">
        <v>1</v>
      </c>
      <c r="E5" s="144">
        <v>2</v>
      </c>
      <c r="F5" s="446" t="s">
        <v>100</v>
      </c>
    </row>
    <row r="6" spans="2:6" ht="15" customHeight="1" x14ac:dyDescent="0.2">
      <c r="B6" s="21" t="s">
        <v>4</v>
      </c>
      <c r="C6" s="4"/>
      <c r="D6" s="144" t="str">
        <f>VLOOKUP(D$5,'Osnovni podatki'!$B$6:$H$10,2,FALSE)</f>
        <v>OB01</v>
      </c>
      <c r="E6" s="144" t="str">
        <f>VLOOKUP(E$5,'Osnovni podatki'!$B$6:$H$10,2,FALSE)</f>
        <v>OB02</v>
      </c>
      <c r="F6" s="447"/>
    </row>
    <row r="7" spans="2:6" ht="26.25" thickBot="1" x14ac:dyDescent="0.25">
      <c r="B7" s="136" t="s">
        <v>3</v>
      </c>
      <c r="C7" s="134"/>
      <c r="D7" s="145" t="str">
        <f>VLOOKUP(D$5,'Osnovni podatki'!$B$6:$H$10,3,FALSE)</f>
        <v>DD Vič - Glavna stavba</v>
      </c>
      <c r="E7" s="145" t="str">
        <f>VLOOKUP(E$5,'Osnovni podatki'!$B$6:$H$10,3,FALSE)</f>
        <v>DD Vič - Stara uprava</v>
      </c>
      <c r="F7" s="448"/>
    </row>
    <row r="8" spans="2:6" ht="15" customHeight="1" x14ac:dyDescent="0.2">
      <c r="B8" s="37" t="s">
        <v>13</v>
      </c>
      <c r="C8" s="138"/>
      <c r="D8" s="146"/>
      <c r="E8" s="146"/>
      <c r="F8" s="150"/>
    </row>
    <row r="9" spans="2:6" ht="15" customHeight="1" x14ac:dyDescent="0.2">
      <c r="B9" s="20" t="s">
        <v>68</v>
      </c>
      <c r="C9" s="15" t="s">
        <v>18</v>
      </c>
      <c r="D9" s="252">
        <f ca="1">INDEX(INDIRECT(D$6&amp;"!B57:E69"),MATCH($B9,INDIRECT(D$6&amp;"!B57:B69")),4)</f>
        <v>2149157</v>
      </c>
      <c r="E9" s="389">
        <f ca="1">INDEX(INDIRECT(E$6&amp;"!B57:E69"),MATCH($B9,INDIRECT(E$6&amp;"!B57:B69")),4)</f>
        <v>107193</v>
      </c>
      <c r="F9" s="392">
        <f ca="1">SUM(D9:E9)</f>
        <v>2256350</v>
      </c>
    </row>
    <row r="10" spans="2:6" ht="15" customHeight="1" x14ac:dyDescent="0.2">
      <c r="B10" s="20" t="s">
        <v>69</v>
      </c>
      <c r="C10" s="15" t="s">
        <v>18</v>
      </c>
      <c r="D10" s="252">
        <f t="shared" ref="D10:E12" ca="1" si="0">INDEX(INDIRECT(D$6&amp;"!B57:E69"),MATCH($B10,INDIRECT(D$6&amp;"!B57:B69")),4)</f>
        <v>0</v>
      </c>
      <c r="E10" s="389">
        <f t="shared" ca="1" si="0"/>
        <v>0</v>
      </c>
      <c r="F10" s="392">
        <f t="shared" ref="F10:F12" ca="1" si="1">SUM(D10:E10)</f>
        <v>0</v>
      </c>
    </row>
    <row r="11" spans="2:6" ht="15" customHeight="1" x14ac:dyDescent="0.2">
      <c r="B11" s="20" t="s">
        <v>70</v>
      </c>
      <c r="C11" s="15" t="s">
        <v>18</v>
      </c>
      <c r="D11" s="252">
        <f t="shared" ca="1" si="0"/>
        <v>0</v>
      </c>
      <c r="E11" s="389">
        <f t="shared" ca="1" si="0"/>
        <v>0</v>
      </c>
      <c r="F11" s="392">
        <f t="shared" ca="1" si="1"/>
        <v>0</v>
      </c>
    </row>
    <row r="12" spans="2:6" ht="15" customHeight="1" thickBot="1" x14ac:dyDescent="0.25">
      <c r="B12" s="137" t="s">
        <v>79</v>
      </c>
      <c r="C12" s="102" t="s">
        <v>24</v>
      </c>
      <c r="D12" s="327">
        <f t="shared" ca="1" si="0"/>
        <v>164904.81661000001</v>
      </c>
      <c r="E12" s="390">
        <f t="shared" ca="1" si="0"/>
        <v>8224.9188900000008</v>
      </c>
      <c r="F12" s="392">
        <f t="shared" ca="1" si="1"/>
        <v>173129.73550000001</v>
      </c>
    </row>
    <row r="13" spans="2:6" ht="15" customHeight="1" x14ac:dyDescent="0.2">
      <c r="B13" s="39" t="s">
        <v>16</v>
      </c>
      <c r="C13" s="140"/>
      <c r="D13" s="147"/>
      <c r="E13" s="147"/>
      <c r="F13" s="151"/>
    </row>
    <row r="14" spans="2:6" ht="15" customHeight="1" x14ac:dyDescent="0.2">
      <c r="B14" s="22" t="s">
        <v>77</v>
      </c>
      <c r="C14" s="10" t="s">
        <v>18</v>
      </c>
      <c r="D14" s="253">
        <f ca="1">INDEX(INDIRECT(D$6&amp;"!B71:E77"),MATCH($B14,INDIRECT(D$6&amp;"!B71:B77")),4)</f>
        <v>0</v>
      </c>
      <c r="E14" s="389">
        <f ca="1">INDEX(INDIRECT(E$6&amp;"!B71:E77"),MATCH($B14,INDIRECT(E$6&amp;"!B71:B77")),4)</f>
        <v>11775</v>
      </c>
      <c r="F14" s="393">
        <f ca="1">SUM(D14:E14)</f>
        <v>11775</v>
      </c>
    </row>
    <row r="15" spans="2:6" ht="15" customHeight="1" thickBot="1" x14ac:dyDescent="0.25">
      <c r="B15" s="104" t="s">
        <v>79</v>
      </c>
      <c r="C15" s="105" t="s">
        <v>24</v>
      </c>
      <c r="D15" s="328">
        <f ca="1">INDEX(INDIRECT(D$6&amp;"!B71:E77"),MATCH($B15,INDIRECT(D$6&amp;"!B71:B77")),4)</f>
        <v>0</v>
      </c>
      <c r="E15" s="390">
        <f ca="1">INDEX(INDIRECT(E$6&amp;"!B71:E77"),MATCH($B15,INDIRECT(E$6&amp;"!B71:B77")),4)</f>
        <v>1277.4697500000002</v>
      </c>
      <c r="F15" s="394">
        <f ca="1">SUM(D15:E15)</f>
        <v>1277.4697500000002</v>
      </c>
    </row>
    <row r="16" spans="2:6" ht="15" customHeight="1" x14ac:dyDescent="0.2">
      <c r="B16" s="107" t="s">
        <v>37</v>
      </c>
      <c r="C16" s="142"/>
      <c r="D16" s="148"/>
      <c r="E16" s="148"/>
      <c r="F16" s="152"/>
    </row>
    <row r="17" spans="2:6" ht="39.950000000000003" customHeight="1" thickBot="1" x14ac:dyDescent="0.25">
      <c r="B17" s="110" t="s">
        <v>81</v>
      </c>
      <c r="C17" s="308" t="s">
        <v>24</v>
      </c>
      <c r="D17" s="254">
        <f ca="1">INDEX(INDIRECT(D$6&amp;"!B79:E82"),MATCH($B17,INDIRECT(D$6&amp;"!B79:B82")),4)</f>
        <v>37455</v>
      </c>
      <c r="E17" s="391">
        <f ca="1">INDEX(INDIRECT(E$6&amp;"!B79:E82"),MATCH($B17,INDIRECT(E$6&amp;"!B79:B82")),4)</f>
        <v>2193</v>
      </c>
      <c r="F17" s="395">
        <f ca="1">SUM(D17:E17)</f>
        <v>39648</v>
      </c>
    </row>
    <row r="18" spans="2:6" ht="15" customHeight="1" x14ac:dyDescent="0.2">
      <c r="B18" s="113" t="s">
        <v>96</v>
      </c>
      <c r="C18" s="143"/>
      <c r="D18" s="149"/>
      <c r="E18" s="149"/>
      <c r="F18" s="153"/>
    </row>
    <row r="19" spans="2:6" ht="15" customHeight="1" x14ac:dyDescent="0.2">
      <c r="B19" s="24" t="s">
        <v>103</v>
      </c>
      <c r="C19" s="17" t="s">
        <v>24</v>
      </c>
      <c r="D19" s="158">
        <f ca="1">INDEX(INDIRECT(D$6&amp;"!B84:E87"),MATCH($B19,INDIRECT(D$6&amp;"!B84:B87")),4)</f>
        <v>202359.81661000001</v>
      </c>
      <c r="E19" s="390">
        <f ca="1">INDEX(INDIRECT(E$6&amp;"!B84:E87"),MATCH($B19,INDIRECT(E$6&amp;"!B84:B87")),4)</f>
        <v>11695.388640000001</v>
      </c>
      <c r="F19" s="396">
        <f ca="1">SUM(D19:E19)</f>
        <v>214055.20525</v>
      </c>
    </row>
    <row r="20" spans="2:6" ht="15" customHeight="1" x14ac:dyDescent="0.2">
      <c r="B20" s="24" t="s">
        <v>97</v>
      </c>
      <c r="C20" s="17" t="s">
        <v>24</v>
      </c>
      <c r="D20" s="158">
        <f ca="1">INDIRECT(D6&amp;"!M74")</f>
        <v>2249914.8417724692</v>
      </c>
      <c r="E20" s="390">
        <f ca="1">INDIRECT(E6&amp;"!M74")</f>
        <v>130033.86206929781</v>
      </c>
      <c r="F20" s="396">
        <f t="shared" ref="F20:F21" ca="1" si="2">SUM(D20:E20)</f>
        <v>2379948.7038417673</v>
      </c>
    </row>
    <row r="21" spans="2:6" ht="15" customHeight="1" thickBot="1" x14ac:dyDescent="0.25">
      <c r="B21" s="25" t="s">
        <v>98</v>
      </c>
      <c r="C21" s="18" t="s">
        <v>24</v>
      </c>
      <c r="D21" s="159">
        <f ca="1">INDIRECT(D6&amp;"!N33")</f>
        <v>0</v>
      </c>
      <c r="E21" s="391">
        <f ca="1">INDIRECT(E6&amp;"!N33")</f>
        <v>0</v>
      </c>
      <c r="F21" s="397">
        <f t="shared" ca="1" si="2"/>
        <v>0</v>
      </c>
    </row>
  </sheetData>
  <mergeCells count="1">
    <mergeCell ref="F5:F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B2:G12"/>
  <sheetViews>
    <sheetView zoomScaleNormal="100" workbookViewId="0">
      <selection activeCell="G11" sqref="G11"/>
    </sheetView>
  </sheetViews>
  <sheetFormatPr defaultColWidth="9.140625" defaultRowHeight="12.75" x14ac:dyDescent="0.2"/>
  <cols>
    <col min="1" max="1" width="9.140625" style="226"/>
    <col min="2" max="2" width="26.5703125" style="226" customWidth="1"/>
    <col min="3" max="3" width="11" style="226" customWidth="1"/>
    <col min="4" max="5" width="12.7109375" style="226" customWidth="1"/>
    <col min="6" max="16384" width="9.140625" style="226"/>
  </cols>
  <sheetData>
    <row r="2" spans="2:7" ht="20.25" x14ac:dyDescent="0.2">
      <c r="B2" s="74" t="s">
        <v>156</v>
      </c>
    </row>
    <row r="3" spans="2:7" ht="13.5" thickBot="1" x14ac:dyDescent="0.25"/>
    <row r="4" spans="2:7" ht="13.5" thickBot="1" x14ac:dyDescent="0.25">
      <c r="B4" s="232" t="s">
        <v>160</v>
      </c>
      <c r="C4" s="233" t="s">
        <v>162</v>
      </c>
    </row>
    <row r="5" spans="2:7" x14ac:dyDescent="0.2">
      <c r="B5" s="26" t="s">
        <v>9</v>
      </c>
      <c r="C5" s="84"/>
      <c r="D5" s="85"/>
      <c r="E5" s="85"/>
    </row>
    <row r="6" spans="2:7" x14ac:dyDescent="0.2">
      <c r="B6" s="86" t="s">
        <v>5</v>
      </c>
      <c r="C6" s="79"/>
      <c r="D6" s="220">
        <v>1</v>
      </c>
      <c r="E6" s="398">
        <v>2</v>
      </c>
    </row>
    <row r="7" spans="2:7" x14ac:dyDescent="0.2">
      <c r="B7" s="86" t="s">
        <v>4</v>
      </c>
      <c r="C7" s="79"/>
      <c r="D7" s="220" t="str">
        <f>VLOOKUP(D$6,'Osnovni podatki'!$B$6:$H$10,2,FALSE)</f>
        <v>OB01</v>
      </c>
      <c r="E7" s="398" t="str">
        <f>VLOOKUP(E$6,'Osnovni podatki'!$B$6:$H$10,2,FALSE)</f>
        <v>OB02</v>
      </c>
    </row>
    <row r="8" spans="2:7" ht="39" thickBot="1" x14ac:dyDescent="0.25">
      <c r="B8" s="223" t="s">
        <v>3</v>
      </c>
      <c r="C8" s="224"/>
      <c r="D8" s="225" t="str">
        <f>VLOOKUP(D$6,'Osnovni podatki'!$B$6:$H$10,3,FALSE)</f>
        <v>DD Vič - Glavna stavba</v>
      </c>
      <c r="E8" s="399" t="str">
        <f>VLOOKUP(E$6,'Osnovni podatki'!$B$6:$H$10,3,FALSE)</f>
        <v>DD Vič - Stara uprava</v>
      </c>
    </row>
    <row r="9" spans="2:7" ht="15" customHeight="1" x14ac:dyDescent="0.2">
      <c r="B9" s="229" t="s">
        <v>123</v>
      </c>
      <c r="C9" s="230"/>
      <c r="D9" s="231"/>
      <c r="E9" s="231"/>
    </row>
    <row r="10" spans="2:7" ht="30" customHeight="1" x14ac:dyDescent="0.2">
      <c r="B10" s="222" t="s">
        <v>157</v>
      </c>
      <c r="C10" s="221" t="s">
        <v>158</v>
      </c>
      <c r="D10" s="94">
        <v>2668</v>
      </c>
      <c r="E10" s="57">
        <v>2668</v>
      </c>
      <c r="G10" s="470" t="s">
        <v>235</v>
      </c>
    </row>
    <row r="11" spans="2:7" ht="25.5" x14ac:dyDescent="0.2">
      <c r="B11" s="222" t="s">
        <v>159</v>
      </c>
      <c r="C11" s="221" t="s">
        <v>158</v>
      </c>
      <c r="D11" s="315"/>
      <c r="E11" s="315"/>
    </row>
    <row r="12" spans="2:7" ht="13.5" thickBot="1" x14ac:dyDescent="0.25">
      <c r="B12" s="187" t="s">
        <v>161</v>
      </c>
      <c r="C12" s="188" t="s">
        <v>17</v>
      </c>
      <c r="D12" s="291">
        <f>ROUND(1-(D11/D10),4)</f>
        <v>1</v>
      </c>
      <c r="E12" s="400">
        <f>ROUND(1-(E11/E10),4)</f>
        <v>1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B2:K66"/>
  <sheetViews>
    <sheetView topLeftCell="A25" zoomScaleNormal="100" workbookViewId="0">
      <selection activeCell="J26" sqref="J26"/>
    </sheetView>
  </sheetViews>
  <sheetFormatPr defaultColWidth="9.140625" defaultRowHeight="12.75" x14ac:dyDescent="0.2"/>
  <cols>
    <col min="1" max="1" width="5.7109375" style="69" customWidth="1"/>
    <col min="2" max="2" width="33.5703125" style="69" customWidth="1"/>
    <col min="3" max="3" width="15.140625" style="69" customWidth="1"/>
    <col min="4" max="4" width="15.7109375" style="69" customWidth="1"/>
    <col min="5" max="6" width="12.7109375" style="69" customWidth="1"/>
    <col min="7" max="7" width="14.85546875" style="69" customWidth="1"/>
    <col min="8" max="8" width="12.7109375" style="69" customWidth="1"/>
    <col min="9" max="9" width="5.7109375" style="69" customWidth="1"/>
    <col min="10" max="16384" width="9.140625" style="69"/>
  </cols>
  <sheetData>
    <row r="2" spans="2:9" ht="20.25" x14ac:dyDescent="0.2">
      <c r="B2" s="74" t="s">
        <v>145</v>
      </c>
    </row>
    <row r="3" spans="2:9" ht="12" customHeight="1" thickBot="1" x14ac:dyDescent="0.25"/>
    <row r="4" spans="2:9" ht="15" customHeight="1" x14ac:dyDescent="0.2">
      <c r="B4" s="26" t="s">
        <v>52</v>
      </c>
      <c r="C4" s="27"/>
      <c r="D4" s="28"/>
      <c r="I4" s="207"/>
    </row>
    <row r="5" spans="2:9" ht="15" customHeight="1" x14ac:dyDescent="0.2">
      <c r="B5" s="424" t="s">
        <v>5</v>
      </c>
      <c r="C5" s="425"/>
      <c r="D5" s="11">
        <v>1</v>
      </c>
      <c r="I5" s="207"/>
    </row>
    <row r="6" spans="2:9" ht="15" customHeight="1" x14ac:dyDescent="0.2">
      <c r="B6" s="424" t="s">
        <v>4</v>
      </c>
      <c r="C6" s="425"/>
      <c r="D6" s="11" t="str">
        <f>INDEX('Referenčne količine'!$B$4:$D$14,MATCH(B6,('Referenčne količine'!$B$4:$B$14),0),MATCH($D$5,'Referenčne količine'!$B$5:$D$5,0))</f>
        <v>OB01</v>
      </c>
      <c r="I6" s="207"/>
    </row>
    <row r="7" spans="2:9" ht="26.25" thickBot="1" x14ac:dyDescent="0.25">
      <c r="B7" s="455" t="s">
        <v>3</v>
      </c>
      <c r="C7" s="456"/>
      <c r="D7" s="289" t="str">
        <f>INDEX('Referenčne količine'!$B$4:$D$14,MATCH(B7,('Referenčne količine'!$B$4:$B$14),0),MATCH($D$5,'Referenčne količine'!$B$5:$D$5,0))</f>
        <v>DD Vič - Glavna stavba</v>
      </c>
    </row>
    <row r="8" spans="2:9" ht="7.9" customHeight="1" x14ac:dyDescent="0.2"/>
    <row r="9" spans="2:9" ht="15" customHeight="1" thickBot="1" x14ac:dyDescent="0.25">
      <c r="B9" s="77" t="s">
        <v>138</v>
      </c>
    </row>
    <row r="10" spans="2:9" ht="15" customHeight="1" x14ac:dyDescent="0.2">
      <c r="B10" s="135" t="s">
        <v>139</v>
      </c>
      <c r="C10" s="197">
        <f ca="1">D65</f>
        <v>164904.81661000001</v>
      </c>
    </row>
    <row r="11" spans="2:9" ht="15" customHeight="1" x14ac:dyDescent="0.2">
      <c r="B11" s="24" t="s">
        <v>140</v>
      </c>
      <c r="C11" s="198">
        <f ca="1">D23</f>
        <v>0</v>
      </c>
    </row>
    <row r="12" spans="2:9" ht="15" customHeight="1" x14ac:dyDescent="0.2">
      <c r="B12" s="24" t="s">
        <v>141</v>
      </c>
      <c r="C12" s="198">
        <f ca="1">D29</f>
        <v>37455</v>
      </c>
    </row>
    <row r="13" spans="2:9" ht="15" customHeight="1" x14ac:dyDescent="0.2">
      <c r="B13" s="24" t="s">
        <v>142</v>
      </c>
      <c r="C13" s="198">
        <f ca="1">SUM(C10:C12)</f>
        <v>202359.81661000001</v>
      </c>
    </row>
    <row r="14" spans="2:9" ht="15" customHeight="1" x14ac:dyDescent="0.2">
      <c r="B14" s="24" t="s">
        <v>143</v>
      </c>
      <c r="C14" s="198">
        <f ca="1">INDIRECT($D$6&amp;"!E85")</f>
        <v>202359.81661000001</v>
      </c>
    </row>
    <row r="15" spans="2:9" ht="26.25" thickBot="1" x14ac:dyDescent="0.25">
      <c r="B15" s="204" t="s">
        <v>127</v>
      </c>
      <c r="C15" s="199">
        <f ca="1">C13-C14</f>
        <v>0</v>
      </c>
    </row>
    <row r="16" spans="2:9" ht="7.9" customHeight="1" x14ac:dyDescent="0.2"/>
    <row r="17" spans="2:10" ht="15" customHeight="1" thickBot="1" x14ac:dyDescent="0.25">
      <c r="B17" s="77" t="s">
        <v>134</v>
      </c>
      <c r="F17" s="205" t="s">
        <v>128</v>
      </c>
      <c r="G17" s="206"/>
    </row>
    <row r="18" spans="2:10" ht="15" customHeight="1" x14ac:dyDescent="0.2">
      <c r="B18" s="185" t="s">
        <v>16</v>
      </c>
      <c r="C18" s="186"/>
      <c r="D18" s="42" t="s">
        <v>109</v>
      </c>
      <c r="F18" s="200" t="s">
        <v>14</v>
      </c>
      <c r="G18" s="201">
        <f ca="1">INDIRECT($D$6&amp;"!E61")</f>
        <v>76.73</v>
      </c>
    </row>
    <row r="19" spans="2:10" ht="15" customHeight="1" x14ac:dyDescent="0.2">
      <c r="B19" s="22" t="s">
        <v>108</v>
      </c>
      <c r="C19" s="10" t="s">
        <v>18</v>
      </c>
      <c r="D19" s="94">
        <f ca="1">INDIRECT($D$6&amp;"!D26")</f>
        <v>550273</v>
      </c>
      <c r="F19" s="133" t="s">
        <v>15</v>
      </c>
      <c r="G19" s="202">
        <f ca="1">INDIRECT($D$6&amp;"!E62")</f>
        <v>0</v>
      </c>
    </row>
    <row r="20" spans="2:10" ht="15" customHeight="1" x14ac:dyDescent="0.2">
      <c r="B20" s="22" t="s">
        <v>129</v>
      </c>
      <c r="C20" s="10" t="s">
        <v>24</v>
      </c>
      <c r="D20" s="192">
        <f ca="1">INDIRECT($D$6&amp;"!D35")</f>
        <v>59699.117769999997</v>
      </c>
      <c r="F20" s="133" t="s">
        <v>116</v>
      </c>
      <c r="G20" s="202">
        <f ca="1">INDIRECT($D$6&amp;"!E63")</f>
        <v>0</v>
      </c>
    </row>
    <row r="21" spans="2:10" ht="15" customHeight="1" thickBot="1" x14ac:dyDescent="0.25">
      <c r="B21" s="22" t="s">
        <v>136</v>
      </c>
      <c r="C21" s="10" t="s">
        <v>18</v>
      </c>
      <c r="D21" s="94">
        <f ca="1">INDIRECT($D$6&amp;"!E72")</f>
        <v>550273</v>
      </c>
      <c r="F21" s="52" t="s">
        <v>75</v>
      </c>
      <c r="G21" s="203">
        <f ca="1">INDIRECT($D$6&amp;"!E73")</f>
        <v>108.49</v>
      </c>
    </row>
    <row r="22" spans="2:10" ht="15" customHeight="1" x14ac:dyDescent="0.2">
      <c r="B22" s="22" t="s">
        <v>137</v>
      </c>
      <c r="C22" s="10" t="s">
        <v>24</v>
      </c>
      <c r="D22" s="192">
        <f ca="1">INDIRECT($D$6&amp;"!E75")</f>
        <v>59699.117769999997</v>
      </c>
    </row>
    <row r="23" spans="2:10" ht="15" customHeight="1" thickBot="1" x14ac:dyDescent="0.25">
      <c r="B23" s="187" t="s">
        <v>144</v>
      </c>
      <c r="C23" s="188" t="s">
        <v>24</v>
      </c>
      <c r="D23" s="193">
        <f ca="1">INDIRECT($D$6&amp;"!E76")</f>
        <v>0</v>
      </c>
    </row>
    <row r="24" spans="2:10" ht="7.9" customHeight="1" x14ac:dyDescent="0.2"/>
    <row r="25" spans="2:10" ht="16.5" thickBot="1" x14ac:dyDescent="0.25">
      <c r="B25" s="77" t="s">
        <v>135</v>
      </c>
      <c r="F25" s="77" t="s">
        <v>165</v>
      </c>
    </row>
    <row r="26" spans="2:10" ht="15" customHeight="1" x14ac:dyDescent="0.2">
      <c r="B26" s="189" t="s">
        <v>16</v>
      </c>
      <c r="C26" s="190"/>
      <c r="D26" s="191" t="s">
        <v>109</v>
      </c>
      <c r="F26" s="459" t="s">
        <v>163</v>
      </c>
      <c r="G26" s="459"/>
      <c r="H26" s="234">
        <f>HLOOKUP($D$6,'Neodvisne spremenljivke'!$D$7:D12,4)</f>
        <v>2668</v>
      </c>
      <c r="J26" s="365"/>
    </row>
    <row r="27" spans="2:10" ht="15" customHeight="1" x14ac:dyDescent="0.2">
      <c r="B27" s="132" t="s">
        <v>129</v>
      </c>
      <c r="C27" s="16" t="s">
        <v>24</v>
      </c>
      <c r="D27" s="118">
        <f ca="1">INDIRECT($D$6&amp;"!D37")</f>
        <v>37455</v>
      </c>
      <c r="F27" s="459" t="s">
        <v>164</v>
      </c>
      <c r="G27" s="459"/>
      <c r="H27" s="234">
        <f>HLOOKUP($D$6,'Neodvisne spremenljivke'!$D$7:D13,5)</f>
        <v>0</v>
      </c>
    </row>
    <row r="28" spans="2:10" ht="15" customHeight="1" x14ac:dyDescent="0.2">
      <c r="B28" s="132" t="s">
        <v>78</v>
      </c>
      <c r="C28" s="16" t="s">
        <v>24</v>
      </c>
      <c r="D28" s="118">
        <f ca="1">INDIRECT($D$6&amp;"!E80")</f>
        <v>0</v>
      </c>
      <c r="F28" s="460" t="s">
        <v>161</v>
      </c>
      <c r="G28" s="460"/>
      <c r="H28" s="290">
        <f>HLOOKUP($D$6,'Neodvisne spremenljivke'!$D$7:D14,6)</f>
        <v>1</v>
      </c>
    </row>
    <row r="29" spans="2:10" ht="15" customHeight="1" thickBot="1" x14ac:dyDescent="0.25">
      <c r="B29" s="194" t="s">
        <v>86</v>
      </c>
      <c r="C29" s="195" t="s">
        <v>24</v>
      </c>
      <c r="D29" s="196">
        <f ca="1">INDIRECT($D$6&amp;"!E81")</f>
        <v>37455</v>
      </c>
      <c r="F29" s="461"/>
      <c r="G29" s="461"/>
      <c r="H29" s="234"/>
    </row>
    <row r="30" spans="2:10" ht="15" customHeight="1" x14ac:dyDescent="0.2">
      <c r="F30" s="461"/>
      <c r="G30" s="461"/>
      <c r="H30" s="234"/>
    </row>
    <row r="31" spans="2:10" ht="15" customHeight="1" x14ac:dyDescent="0.2">
      <c r="F31" s="460"/>
      <c r="G31" s="460"/>
      <c r="H31" s="290"/>
    </row>
    <row r="32" spans="2:10" ht="7.9" customHeight="1" x14ac:dyDescent="0.2"/>
    <row r="33" spans="2:8" ht="7.9" customHeight="1" x14ac:dyDescent="0.25">
      <c r="B33" s="72"/>
      <c r="C33" s="72"/>
      <c r="D33" s="72"/>
    </row>
    <row r="34" spans="2:8" ht="16.5" thickBot="1" x14ac:dyDescent="0.25">
      <c r="B34" s="77" t="s">
        <v>133</v>
      </c>
    </row>
    <row r="35" spans="2:8" ht="15" customHeight="1" thickBot="1" x14ac:dyDescent="0.25">
      <c r="B35" s="457" t="s">
        <v>13</v>
      </c>
      <c r="C35" s="458"/>
      <c r="D35" s="174" t="s">
        <v>109</v>
      </c>
      <c r="E35" s="174" t="s">
        <v>111</v>
      </c>
      <c r="F35" s="174" t="s">
        <v>110</v>
      </c>
      <c r="G35" s="174" t="s">
        <v>112</v>
      </c>
      <c r="H35" s="175" t="s">
        <v>114</v>
      </c>
    </row>
    <row r="36" spans="2:8" ht="15" customHeight="1" x14ac:dyDescent="0.2">
      <c r="B36" s="176" t="s">
        <v>113</v>
      </c>
      <c r="C36" s="177"/>
      <c r="D36" s="177"/>
      <c r="E36" s="177"/>
      <c r="F36" s="177"/>
      <c r="G36" s="177"/>
      <c r="H36" s="178"/>
    </row>
    <row r="37" spans="2:8" ht="15" customHeight="1" x14ac:dyDescent="0.2">
      <c r="B37" s="20" t="s">
        <v>14</v>
      </c>
      <c r="C37" s="15" t="s">
        <v>18</v>
      </c>
      <c r="D37" s="90">
        <f ca="1">INDIRECT($D$6&amp;"!D14")</f>
        <v>2149157</v>
      </c>
      <c r="E37" s="90">
        <f ca="1">INDIRECT($D$6&amp;"!D15")</f>
        <v>1658250</v>
      </c>
      <c r="F37" s="90">
        <f ca="1">INDIRECT($D$6&amp;"!D16")</f>
        <v>490907</v>
      </c>
      <c r="G37" s="90">
        <f ca="1">INDIRECT($D$6&amp;"!D17")</f>
        <v>0</v>
      </c>
      <c r="H37" s="91">
        <f ca="1">INDIRECT($D$6&amp;"!D18")</f>
        <v>0</v>
      </c>
    </row>
    <row r="38" spans="2:8" ht="15" customHeight="1" thickBot="1" x14ac:dyDescent="0.25">
      <c r="B38" s="179" t="s">
        <v>129</v>
      </c>
      <c r="C38" s="171" t="s">
        <v>24</v>
      </c>
      <c r="D38" s="180">
        <f ca="1">INDIRECT($D$6&amp;"!D22")+INDIRECT($D$6&amp;"!D34")</f>
        <v>164904.81661000001</v>
      </c>
      <c r="E38" s="172"/>
      <c r="F38" s="172"/>
      <c r="G38" s="172"/>
      <c r="H38" s="173"/>
    </row>
    <row r="39" spans="2:8" ht="15" customHeight="1" x14ac:dyDescent="0.2">
      <c r="B39" s="449" t="s">
        <v>121</v>
      </c>
      <c r="C39" s="450"/>
      <c r="D39" s="450"/>
      <c r="E39" s="450"/>
      <c r="F39" s="450"/>
      <c r="G39" s="450"/>
      <c r="H39" s="451"/>
    </row>
    <row r="40" spans="2:8" ht="15" customHeight="1" x14ac:dyDescent="0.2">
      <c r="B40" s="20" t="s">
        <v>14</v>
      </c>
      <c r="C40" s="15" t="s">
        <v>18</v>
      </c>
      <c r="D40" s="90">
        <f ca="1">INDIRECT($D$6&amp;"!E58")</f>
        <v>0</v>
      </c>
      <c r="E40" s="90">
        <f ca="1">INDIRECT($D$6&amp;"!C92")</f>
        <v>0</v>
      </c>
      <c r="F40" s="90">
        <f ca="1">INDIRECT($D$6&amp;"!D92")</f>
        <v>0</v>
      </c>
      <c r="G40" s="90">
        <f ca="1">INDIRECT($D$6&amp;"!E92")</f>
        <v>0</v>
      </c>
      <c r="H40" s="91">
        <f ca="1">INDIRECT($D$6&amp;"!F92")</f>
        <v>0</v>
      </c>
    </row>
    <row r="41" spans="2:8" ht="15" customHeight="1" x14ac:dyDescent="0.2">
      <c r="B41" s="20" t="s">
        <v>15</v>
      </c>
      <c r="C41" s="15" t="s">
        <v>18</v>
      </c>
      <c r="D41" s="90">
        <f ca="1">INDIRECT($D$6&amp;"!E59")</f>
        <v>0</v>
      </c>
      <c r="E41" s="90">
        <f ca="1">INDIRECT($D$6&amp;"!C93")</f>
        <v>0</v>
      </c>
      <c r="F41" s="90">
        <f ca="1">INDIRECT($D$6&amp;"!D93")</f>
        <v>0</v>
      </c>
      <c r="G41" s="90">
        <f ca="1">INDIRECT($D$6&amp;"!E93")</f>
        <v>0</v>
      </c>
      <c r="H41" s="91">
        <f ca="1">INDIRECT($D$6&amp;"!F93")</f>
        <v>0</v>
      </c>
    </row>
    <row r="42" spans="2:8" ht="15" customHeight="1" x14ac:dyDescent="0.2">
      <c r="B42" s="20" t="s">
        <v>116</v>
      </c>
      <c r="C42" s="15" t="s">
        <v>18</v>
      </c>
      <c r="D42" s="90">
        <f ca="1">INDIRECT($D$6&amp;"!E60")</f>
        <v>0</v>
      </c>
      <c r="E42" s="90">
        <f ca="1">INDIRECT($D$6&amp;"!C94")</f>
        <v>0</v>
      </c>
      <c r="F42" s="90">
        <f ca="1">INDIRECT($D$6&amp;"!D94")</f>
        <v>0</v>
      </c>
      <c r="G42" s="90">
        <f ca="1">INDIRECT($D$6&amp;"!E94")</f>
        <v>0</v>
      </c>
      <c r="H42" s="91">
        <f ca="1">INDIRECT($D$6&amp;"!F94")</f>
        <v>0</v>
      </c>
    </row>
    <row r="43" spans="2:8" ht="15" customHeight="1" x14ac:dyDescent="0.2">
      <c r="B43" s="13" t="s">
        <v>125</v>
      </c>
      <c r="C43" s="6" t="s">
        <v>24</v>
      </c>
      <c r="D43" s="169">
        <f ca="1">INDIRECT($D$6&amp;"!E67")</f>
        <v>0</v>
      </c>
      <c r="E43" s="168"/>
      <c r="F43" s="168"/>
      <c r="G43" s="168"/>
      <c r="H43" s="170"/>
    </row>
    <row r="44" spans="2:8" ht="15" customHeight="1" thickBot="1" x14ac:dyDescent="0.25">
      <c r="B44" s="179" t="s">
        <v>72</v>
      </c>
      <c r="C44" s="171" t="s">
        <v>24</v>
      </c>
      <c r="D44" s="180">
        <f ca="1">INDIRECT($D$6&amp;"!E68")</f>
        <v>164904.81661000001</v>
      </c>
      <c r="E44" s="172"/>
      <c r="F44" s="172"/>
      <c r="G44" s="172"/>
      <c r="H44" s="173"/>
    </row>
    <row r="45" spans="2:8" ht="15" customHeight="1" x14ac:dyDescent="0.2">
      <c r="B45" s="449" t="s">
        <v>122</v>
      </c>
      <c r="C45" s="450"/>
      <c r="D45" s="450"/>
      <c r="E45" s="450"/>
      <c r="F45" s="450"/>
      <c r="G45" s="450"/>
      <c r="H45" s="451"/>
    </row>
    <row r="46" spans="2:8" ht="15" customHeight="1" x14ac:dyDescent="0.2">
      <c r="B46" s="20" t="s">
        <v>14</v>
      </c>
      <c r="C46" s="15" t="s">
        <v>18</v>
      </c>
      <c r="D46" s="90">
        <f>SUM(E46:H46)</f>
        <v>0</v>
      </c>
      <c r="E46" s="316"/>
      <c r="F46" s="316"/>
      <c r="G46" s="316"/>
      <c r="H46" s="315"/>
    </row>
    <row r="47" spans="2:8" ht="15" customHeight="1" x14ac:dyDescent="0.2">
      <c r="B47" s="20" t="s">
        <v>15</v>
      </c>
      <c r="C47" s="15" t="s">
        <v>18</v>
      </c>
      <c r="D47" s="90">
        <f t="shared" ref="D47:D48" si="0">SUM(E47:H47)</f>
        <v>0</v>
      </c>
      <c r="E47" s="316"/>
      <c r="F47" s="316"/>
      <c r="G47" s="316"/>
      <c r="H47" s="315"/>
    </row>
    <row r="48" spans="2:8" ht="15" customHeight="1" x14ac:dyDescent="0.2">
      <c r="B48" s="20" t="s">
        <v>116</v>
      </c>
      <c r="C48" s="15" t="s">
        <v>18</v>
      </c>
      <c r="D48" s="90">
        <f t="shared" si="0"/>
        <v>0</v>
      </c>
      <c r="E48" s="316"/>
      <c r="F48" s="316"/>
      <c r="G48" s="316"/>
      <c r="H48" s="315"/>
    </row>
    <row r="49" spans="2:11" ht="15" customHeight="1" x14ac:dyDescent="0.2">
      <c r="B49" s="13" t="s">
        <v>131</v>
      </c>
      <c r="C49" s="6" t="s">
        <v>24</v>
      </c>
      <c r="D49" s="169">
        <f ca="1">D46*G18/1000+D47*G19/1000+D48*G20/1000</f>
        <v>0</v>
      </c>
      <c r="E49" s="168"/>
      <c r="F49" s="168"/>
      <c r="G49" s="168"/>
      <c r="H49" s="170"/>
    </row>
    <row r="50" spans="2:11" ht="15" customHeight="1" thickBot="1" x14ac:dyDescent="0.25">
      <c r="B50" s="179" t="s">
        <v>130</v>
      </c>
      <c r="C50" s="171" t="s">
        <v>24</v>
      </c>
      <c r="D50" s="180">
        <f ca="1">D38-D49</f>
        <v>164904.81661000001</v>
      </c>
      <c r="E50" s="172"/>
      <c r="F50" s="172"/>
      <c r="G50" s="172"/>
      <c r="H50" s="173"/>
    </row>
    <row r="51" spans="2:11" ht="15" customHeight="1" x14ac:dyDescent="0.2">
      <c r="B51" s="449" t="s">
        <v>212</v>
      </c>
      <c r="C51" s="450"/>
      <c r="D51" s="450"/>
      <c r="E51" s="450"/>
      <c r="F51" s="450"/>
      <c r="G51" s="450"/>
      <c r="H51" s="451"/>
      <c r="I51" s="293"/>
    </row>
    <row r="52" spans="2:11" ht="15" customHeight="1" x14ac:dyDescent="0.2">
      <c r="B52" s="20" t="s">
        <v>123</v>
      </c>
      <c r="C52" s="15" t="s">
        <v>17</v>
      </c>
      <c r="D52" s="168"/>
      <c r="E52" s="288">
        <f>HLOOKUP($D$6,'Neodvisne spremenljivke'!D7:D12,6)</f>
        <v>1</v>
      </c>
      <c r="F52" s="288">
        <v>1</v>
      </c>
      <c r="G52" s="288">
        <f>HLOOKUP($D$6,'Neodvisne spremenljivke'!D7:D12,6)</f>
        <v>1</v>
      </c>
      <c r="H52" s="401">
        <v>1</v>
      </c>
      <c r="K52" s="365"/>
    </row>
    <row r="53" spans="2:11" ht="15" customHeight="1" x14ac:dyDescent="0.2">
      <c r="B53" s="20" t="s">
        <v>14</v>
      </c>
      <c r="C53" s="15" t="s">
        <v>18</v>
      </c>
      <c r="D53" s="90">
        <f>SUM(E53:H53)</f>
        <v>0</v>
      </c>
      <c r="E53" s="90">
        <f>E46*E$52</f>
        <v>0</v>
      </c>
      <c r="F53" s="90">
        <f t="shared" ref="F53:H53" si="1">F46*F$52</f>
        <v>0</v>
      </c>
      <c r="G53" s="90">
        <f>G46*G$52</f>
        <v>0</v>
      </c>
      <c r="H53" s="91">
        <f t="shared" si="1"/>
        <v>0</v>
      </c>
      <c r="K53" s="366"/>
    </row>
    <row r="54" spans="2:11" ht="15" customHeight="1" x14ac:dyDescent="0.2">
      <c r="B54" s="20" t="s">
        <v>15</v>
      </c>
      <c r="C54" s="15" t="s">
        <v>18</v>
      </c>
      <c r="D54" s="90">
        <f t="shared" ref="D54:D55" si="2">SUM(E54:H54)</f>
        <v>0</v>
      </c>
      <c r="E54" s="90">
        <f t="shared" ref="E54:H54" si="3">E47*E$52</f>
        <v>0</v>
      </c>
      <c r="F54" s="90">
        <f t="shared" si="3"/>
        <v>0</v>
      </c>
      <c r="G54" s="90">
        <f t="shared" si="3"/>
        <v>0</v>
      </c>
      <c r="H54" s="91">
        <f t="shared" si="3"/>
        <v>0</v>
      </c>
      <c r="K54" s="366"/>
    </row>
    <row r="55" spans="2:11" ht="15" customHeight="1" thickBot="1" x14ac:dyDescent="0.25">
      <c r="B55" s="20" t="s">
        <v>116</v>
      </c>
      <c r="C55" s="15" t="s">
        <v>18</v>
      </c>
      <c r="D55" s="90">
        <f t="shared" si="2"/>
        <v>0</v>
      </c>
      <c r="E55" s="90">
        <f>E48*E$52</f>
        <v>0</v>
      </c>
      <c r="F55" s="90">
        <f t="shared" ref="F55:H55" si="4">F48*F$52</f>
        <v>0</v>
      </c>
      <c r="G55" s="90">
        <f t="shared" si="4"/>
        <v>0</v>
      </c>
      <c r="H55" s="91">
        <f t="shared" si="4"/>
        <v>0</v>
      </c>
      <c r="K55" s="366"/>
    </row>
    <row r="56" spans="2:11" ht="15" customHeight="1" x14ac:dyDescent="0.2">
      <c r="B56" s="449" t="s">
        <v>221</v>
      </c>
      <c r="C56" s="450"/>
      <c r="D56" s="450"/>
      <c r="E56" s="450"/>
      <c r="F56" s="450"/>
      <c r="G56" s="450"/>
      <c r="H56" s="451"/>
      <c r="I56" s="293"/>
    </row>
    <row r="57" spans="2:11" ht="15" customHeight="1" x14ac:dyDescent="0.2">
      <c r="B57" s="20" t="s">
        <v>14</v>
      </c>
      <c r="C57" s="15" t="s">
        <v>18</v>
      </c>
      <c r="D57" s="90">
        <f>SUM(E57:H57)</f>
        <v>0</v>
      </c>
      <c r="E57" s="402">
        <v>0</v>
      </c>
      <c r="F57" s="402">
        <v>0</v>
      </c>
      <c r="G57" s="402">
        <v>0</v>
      </c>
      <c r="H57" s="403">
        <v>0</v>
      </c>
      <c r="K57" s="366"/>
    </row>
    <row r="58" spans="2:11" ht="15" customHeight="1" x14ac:dyDescent="0.2">
      <c r="B58" s="20" t="s">
        <v>15</v>
      </c>
      <c r="C58" s="15" t="s">
        <v>18</v>
      </c>
      <c r="D58" s="90">
        <f t="shared" ref="D58:D59" si="5">SUM(E58:H58)</f>
        <v>0</v>
      </c>
      <c r="E58" s="402">
        <v>0</v>
      </c>
      <c r="F58" s="402">
        <v>0</v>
      </c>
      <c r="G58" s="402">
        <v>0</v>
      </c>
      <c r="H58" s="403">
        <v>0</v>
      </c>
      <c r="K58" s="366"/>
    </row>
    <row r="59" spans="2:11" ht="15" customHeight="1" x14ac:dyDescent="0.2">
      <c r="B59" s="20" t="s">
        <v>116</v>
      </c>
      <c r="C59" s="15" t="s">
        <v>18</v>
      </c>
      <c r="D59" s="90">
        <f t="shared" si="5"/>
        <v>0</v>
      </c>
      <c r="E59" s="402">
        <v>0</v>
      </c>
      <c r="F59" s="402">
        <v>0</v>
      </c>
      <c r="G59" s="402">
        <v>0</v>
      </c>
      <c r="H59" s="403">
        <v>0</v>
      </c>
      <c r="K59" s="366"/>
    </row>
    <row r="60" spans="2:11" ht="15" customHeight="1" x14ac:dyDescent="0.2">
      <c r="B60" s="452" t="s">
        <v>124</v>
      </c>
      <c r="C60" s="453"/>
      <c r="D60" s="453"/>
      <c r="E60" s="453"/>
      <c r="F60" s="453"/>
      <c r="G60" s="453"/>
      <c r="H60" s="454"/>
      <c r="K60" s="365"/>
    </row>
    <row r="61" spans="2:11" ht="15" customHeight="1" x14ac:dyDescent="0.2">
      <c r="B61" s="20" t="s">
        <v>14</v>
      </c>
      <c r="C61" s="15" t="s">
        <v>18</v>
      </c>
      <c r="D61" s="90">
        <f>D46+D53</f>
        <v>0</v>
      </c>
      <c r="E61" s="168"/>
      <c r="F61" s="168"/>
      <c r="G61" s="168"/>
      <c r="H61" s="170"/>
    </row>
    <row r="62" spans="2:11" ht="15" customHeight="1" x14ac:dyDescent="0.2">
      <c r="B62" s="20" t="s">
        <v>15</v>
      </c>
      <c r="C62" s="15" t="s">
        <v>18</v>
      </c>
      <c r="D62" s="90">
        <f>D47+D54</f>
        <v>0</v>
      </c>
      <c r="E62" s="168"/>
      <c r="F62" s="168"/>
      <c r="G62" s="168"/>
      <c r="H62" s="170"/>
    </row>
    <row r="63" spans="2:11" ht="15" customHeight="1" x14ac:dyDescent="0.2">
      <c r="B63" s="20" t="s">
        <v>116</v>
      </c>
      <c r="C63" s="15" t="s">
        <v>18</v>
      </c>
      <c r="D63" s="90">
        <f>D48+D55</f>
        <v>0</v>
      </c>
      <c r="E63" s="168"/>
      <c r="F63" s="168"/>
      <c r="G63" s="168"/>
      <c r="H63" s="170"/>
    </row>
    <row r="64" spans="2:11" ht="15" customHeight="1" x14ac:dyDescent="0.2">
      <c r="B64" s="13" t="s">
        <v>126</v>
      </c>
      <c r="C64" s="6" t="s">
        <v>24</v>
      </c>
      <c r="D64" s="169">
        <f ca="1">D61*G18/1000+D62*G19/1000+D63*G20/1000</f>
        <v>0</v>
      </c>
      <c r="E64" s="168"/>
      <c r="F64" s="168"/>
      <c r="G64" s="168"/>
      <c r="H64" s="170"/>
    </row>
    <row r="65" spans="2:8" ht="15" customHeight="1" thickBot="1" x14ac:dyDescent="0.25">
      <c r="B65" s="179" t="s">
        <v>132</v>
      </c>
      <c r="C65" s="171" t="s">
        <v>24</v>
      </c>
      <c r="D65" s="180">
        <f ca="1">D38-D64</f>
        <v>164904.81661000001</v>
      </c>
      <c r="E65" s="172"/>
      <c r="F65" s="172"/>
      <c r="G65" s="172"/>
      <c r="H65" s="173"/>
    </row>
    <row r="66" spans="2:8" ht="30" customHeight="1" thickBot="1" x14ac:dyDescent="0.25">
      <c r="B66" s="181" t="s">
        <v>127</v>
      </c>
      <c r="C66" s="174" t="s">
        <v>24</v>
      </c>
      <c r="D66" s="182">
        <f ca="1">D65-D44</f>
        <v>0</v>
      </c>
      <c r="E66" s="183"/>
      <c r="F66" s="183"/>
      <c r="G66" s="183"/>
      <c r="H66" s="184"/>
    </row>
  </sheetData>
  <mergeCells count="15">
    <mergeCell ref="B45:H45"/>
    <mergeCell ref="B51:H51"/>
    <mergeCell ref="B60:H60"/>
    <mergeCell ref="B5:C5"/>
    <mergeCell ref="B6:C6"/>
    <mergeCell ref="B7:C7"/>
    <mergeCell ref="B39:H39"/>
    <mergeCell ref="B35:C35"/>
    <mergeCell ref="F26:G26"/>
    <mergeCell ref="F27:G27"/>
    <mergeCell ref="F28:G28"/>
    <mergeCell ref="F29:G29"/>
    <mergeCell ref="F30:G30"/>
    <mergeCell ref="F31:G31"/>
    <mergeCell ref="B56:H56"/>
  </mergeCells>
  <phoneticPr fontId="24" type="noConversion"/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'Osnovni podatki'!$B$6:$B$15</xm:f>
          </x14:formula1>
          <xm:sqref>D5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11</vt:i4>
      </vt:variant>
    </vt:vector>
  </HeadingPairs>
  <TitlesOfParts>
    <vt:vector size="11" baseType="lpstr">
      <vt:lpstr>PROGRAM IZVAJANJA</vt:lpstr>
      <vt:lpstr>Osnovni podatki</vt:lpstr>
      <vt:lpstr>Navodila</vt:lpstr>
      <vt:lpstr>Referenčne količine</vt:lpstr>
      <vt:lpstr>OB01</vt:lpstr>
      <vt:lpstr>OB02</vt:lpstr>
      <vt:lpstr>Skupni zajamčeni prihranki</vt:lpstr>
      <vt:lpstr>Neodvisne spremenljivke</vt:lpstr>
      <vt:lpstr>ObračunOB01</vt:lpstr>
      <vt:lpstr>ObračunOB02</vt:lpstr>
      <vt:lpstr>Presežni prihranki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Uporabnik sistema Windows</cp:lastModifiedBy>
  <cp:lastPrinted>2020-02-18T15:08:57Z</cp:lastPrinted>
  <dcterms:created xsi:type="dcterms:W3CDTF">2015-06-05T18:19:34Z</dcterms:created>
  <dcterms:modified xsi:type="dcterms:W3CDTF">2022-05-19T08:30:10Z</dcterms:modified>
</cp:coreProperties>
</file>